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 veduci\Desktop\Čerpanie rozpočtu Kľúč\"/>
    </mc:Choice>
  </mc:AlternateContent>
  <xr:revisionPtr revIDLastSave="0" documentId="13_ncr:1_{C1970122-DAA6-4D09-BA59-9BA21BB5B79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3" sheetId="3" r:id="rId2"/>
  </sheets>
  <calcPr calcId="18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7" i="1" l="1"/>
  <c r="I184" i="1"/>
  <c r="I185" i="1"/>
  <c r="I186" i="1"/>
  <c r="I189" i="1"/>
  <c r="I190" i="1"/>
  <c r="I191" i="1"/>
  <c r="I192" i="1"/>
  <c r="I193" i="1"/>
  <c r="I194" i="1"/>
  <c r="I195" i="1"/>
  <c r="I196" i="1"/>
  <c r="I182" i="1"/>
  <c r="I176" i="1"/>
  <c r="I177" i="1"/>
  <c r="I178" i="1"/>
  <c r="I175" i="1"/>
  <c r="H179" i="1"/>
  <c r="H173" i="1"/>
  <c r="I171" i="1"/>
  <c r="I172" i="1"/>
  <c r="I170" i="1"/>
  <c r="H168" i="1"/>
  <c r="I167" i="1"/>
  <c r="I166" i="1"/>
  <c r="I161" i="1"/>
  <c r="I162" i="1"/>
  <c r="I163" i="1"/>
  <c r="I164" i="1"/>
  <c r="I165" i="1"/>
  <c r="I160" i="1"/>
  <c r="I146" i="1"/>
  <c r="I147" i="1"/>
  <c r="I148" i="1"/>
  <c r="I149" i="1"/>
  <c r="I150" i="1"/>
  <c r="I151" i="1"/>
  <c r="I152" i="1"/>
  <c r="I153" i="1"/>
  <c r="I154" i="1"/>
  <c r="I155" i="1"/>
  <c r="I156" i="1"/>
  <c r="I158" i="1"/>
  <c r="I139" i="1"/>
  <c r="I140" i="1"/>
  <c r="H133" i="1"/>
  <c r="I136" i="1"/>
  <c r="I137" i="1"/>
  <c r="I135" i="1"/>
  <c r="I134" i="1"/>
  <c r="I123" i="1"/>
  <c r="I124" i="1"/>
  <c r="I125" i="1"/>
  <c r="I127" i="1"/>
  <c r="I128" i="1"/>
  <c r="I129" i="1"/>
  <c r="I130" i="1"/>
  <c r="I121" i="1"/>
  <c r="H119" i="1"/>
  <c r="I104" i="1"/>
  <c r="I105" i="1"/>
  <c r="I106" i="1"/>
  <c r="I107" i="1"/>
  <c r="I108" i="1"/>
  <c r="I109" i="1"/>
  <c r="I111" i="1"/>
  <c r="I116" i="1"/>
  <c r="I117" i="1"/>
  <c r="H99" i="1"/>
  <c r="I94" i="1"/>
  <c r="I95" i="1"/>
  <c r="I96" i="1"/>
  <c r="I97" i="1"/>
  <c r="I98" i="1"/>
  <c r="I93" i="1"/>
  <c r="I89" i="1"/>
  <c r="I88" i="1"/>
  <c r="I86" i="1"/>
  <c r="H91" i="1"/>
  <c r="I90" i="1"/>
  <c r="I87" i="1"/>
  <c r="H84" i="1"/>
  <c r="I83" i="1"/>
  <c r="I81" i="1"/>
  <c r="I82" i="1"/>
  <c r="I74" i="1"/>
  <c r="I75" i="1"/>
  <c r="I76" i="1"/>
  <c r="I73" i="1"/>
  <c r="H77" i="1"/>
  <c r="H71" i="1"/>
  <c r="I69" i="1"/>
  <c r="I70" i="1"/>
  <c r="I68" i="1"/>
  <c r="I57" i="1"/>
  <c r="I58" i="1"/>
  <c r="I59" i="1"/>
  <c r="I60" i="1"/>
  <c r="I61" i="1"/>
  <c r="I62" i="1"/>
  <c r="I63" i="1"/>
  <c r="I65" i="1"/>
  <c r="I66" i="1"/>
  <c r="H35" i="1"/>
  <c r="I37" i="1"/>
  <c r="I34" i="1"/>
  <c r="H47" i="1"/>
  <c r="H48" i="1" s="1"/>
  <c r="I39" i="1"/>
  <c r="I40" i="1"/>
  <c r="I41" i="1"/>
  <c r="I42" i="1"/>
  <c r="I43" i="1"/>
  <c r="I44" i="1"/>
  <c r="I45" i="1"/>
  <c r="I46" i="1"/>
  <c r="I38" i="1"/>
  <c r="I33" i="1"/>
  <c r="H27" i="1"/>
  <c r="I26" i="1"/>
  <c r="I25" i="1"/>
  <c r="H23" i="1"/>
  <c r="I22" i="1"/>
  <c r="I21" i="1"/>
  <c r="I18" i="1"/>
  <c r="I19" i="1"/>
  <c r="I20" i="1"/>
  <c r="I17" i="1"/>
  <c r="I11" i="1"/>
  <c r="I13" i="1"/>
  <c r="I14" i="1"/>
  <c r="I15" i="1"/>
  <c r="I16" i="1"/>
  <c r="G173" i="1"/>
  <c r="G197" i="1"/>
  <c r="G179" i="1"/>
  <c r="G168" i="1"/>
  <c r="G133" i="1"/>
  <c r="F133" i="1"/>
  <c r="G119" i="1"/>
  <c r="G99" i="1"/>
  <c r="G100" i="1" s="1"/>
  <c r="G141" i="1" s="1"/>
  <c r="G91" i="1"/>
  <c r="G84" i="1"/>
  <c r="G77" i="1"/>
  <c r="G71" i="1"/>
  <c r="G47" i="1"/>
  <c r="G35" i="1"/>
  <c r="G27" i="1"/>
  <c r="G23" i="1"/>
  <c r="H180" i="1" l="1"/>
  <c r="H198" i="1" s="1"/>
  <c r="H199" i="1" s="1"/>
  <c r="G28" i="1"/>
  <c r="H100" i="1"/>
  <c r="H141" i="1" s="1"/>
  <c r="H28" i="1"/>
  <c r="H49" i="1" s="1"/>
  <c r="G48" i="1"/>
  <c r="G49" i="1" s="1"/>
  <c r="G180" i="1"/>
  <c r="G198" i="1" s="1"/>
  <c r="G199" i="1" s="1"/>
  <c r="F47" i="1"/>
  <c r="E47" i="1"/>
  <c r="I47" i="1"/>
  <c r="F23" i="1"/>
  <c r="F77" i="1"/>
  <c r="I77" i="1" l="1"/>
  <c r="E79" i="1"/>
  <c r="I79" i="1" s="1"/>
  <c r="E55" i="1" l="1"/>
  <c r="I55" i="1" s="1"/>
  <c r="E102" i="1"/>
  <c r="I102" i="1" s="1"/>
  <c r="E118" i="1" l="1"/>
  <c r="I118" i="1" s="1"/>
  <c r="I168" i="1" l="1"/>
  <c r="F168" i="1"/>
  <c r="E188" i="1"/>
  <c r="I188" i="1" s="1"/>
  <c r="E32" i="1"/>
  <c r="I32" i="1" s="1"/>
  <c r="E91" i="1" l="1"/>
  <c r="E183" i="1"/>
  <c r="I183" i="1" s="1"/>
  <c r="E27" i="1"/>
  <c r="E56" i="1"/>
  <c r="I56" i="1" s="1"/>
  <c r="E122" i="1"/>
  <c r="I122" i="1" s="1"/>
  <c r="E80" i="1"/>
  <c r="I80" i="1" s="1"/>
  <c r="E131" i="1"/>
  <c r="I131" i="1" s="1"/>
  <c r="E84" i="1"/>
  <c r="E132" i="1"/>
  <c r="I132" i="1" s="1"/>
  <c r="E144" i="1" l="1"/>
  <c r="I144" i="1" s="1"/>
  <c r="E145" i="1" l="1"/>
  <c r="I145" i="1" s="1"/>
  <c r="E157" i="1"/>
  <c r="I157" i="1" s="1"/>
  <c r="E115" i="1" l="1"/>
  <c r="I115" i="1" s="1"/>
  <c r="E114" i="1"/>
  <c r="I114" i="1" s="1"/>
  <c r="E112" i="1"/>
  <c r="I112" i="1" s="1"/>
  <c r="E113" i="1"/>
  <c r="I113" i="1" s="1"/>
  <c r="E110" i="1"/>
  <c r="I110" i="1" s="1"/>
  <c r="E103" i="1"/>
  <c r="I103" i="1" s="1"/>
  <c r="I119" i="1" l="1"/>
  <c r="E119" i="1"/>
  <c r="E10" i="1" l="1"/>
  <c r="I10" i="1" s="1"/>
  <c r="E187" i="1" l="1"/>
  <c r="I187" i="1" s="1"/>
  <c r="E197" i="1" l="1"/>
  <c r="E31" i="1" s="1"/>
  <c r="I31" i="1" s="1"/>
  <c r="E126" i="1"/>
  <c r="I126" i="1" s="1"/>
  <c r="I133" i="1" s="1"/>
  <c r="E64" i="1"/>
  <c r="I64" i="1" s="1"/>
  <c r="E133" i="1" l="1"/>
  <c r="E35" i="1"/>
  <c r="I35" i="1"/>
  <c r="I48" i="1" s="1"/>
  <c r="E12" i="1"/>
  <c r="I12" i="1" s="1"/>
  <c r="F197" i="1" l="1"/>
  <c r="I197" i="1"/>
  <c r="E168" i="1" l="1"/>
  <c r="F27" i="1" l="1"/>
  <c r="I27" i="1"/>
  <c r="F119" i="1" l="1"/>
  <c r="E99" i="1" l="1"/>
  <c r="E77" i="1"/>
  <c r="E179" i="1"/>
  <c r="F179" i="1" l="1"/>
  <c r="I179" i="1"/>
  <c r="F173" i="1"/>
  <c r="I173" i="1"/>
  <c r="F99" i="1"/>
  <c r="I99" i="1"/>
  <c r="F91" i="1"/>
  <c r="I91" i="1"/>
  <c r="F84" i="1"/>
  <c r="I84" i="1"/>
  <c r="E71" i="1"/>
  <c r="E100" i="1" s="1"/>
  <c r="E141" i="1" s="1"/>
  <c r="F71" i="1"/>
  <c r="I71" i="1"/>
  <c r="E48" i="1"/>
  <c r="E9" i="1" l="1"/>
  <c r="I9" i="1" s="1"/>
  <c r="I23" i="1" s="1"/>
  <c r="F180" i="1"/>
  <c r="I180" i="1"/>
  <c r="E23" i="1" l="1"/>
  <c r="E28" i="1" s="1"/>
  <c r="E49" i="1" s="1"/>
  <c r="I198" i="1"/>
  <c r="F198" i="1"/>
  <c r="F35" i="1"/>
  <c r="F48" i="1" s="1"/>
  <c r="E173" i="1" l="1"/>
  <c r="I100" i="1" l="1"/>
  <c r="F100" i="1"/>
  <c r="F141" i="1" s="1"/>
  <c r="I141" i="1" l="1"/>
  <c r="I199" i="1" s="1"/>
  <c r="I28" i="1"/>
  <c r="I49" i="1" s="1"/>
  <c r="F28" i="1"/>
  <c r="F49" i="1" s="1"/>
  <c r="F199" i="1" l="1"/>
  <c r="E180" i="1" l="1"/>
  <c r="E198" i="1" l="1"/>
  <c r="E19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 veduci</author>
    <author>PrO Lendak</author>
    <author>DSL</author>
  </authors>
  <commentList>
    <comment ref="H9" authorId="0" shapeId="0" xr:uid="{BE56CF8B-68FA-42C7-85A7-68B61FDFC2B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viď výdavková časť</t>
        </r>
      </text>
    </comment>
    <comment ref="E17" authorId="1" shapeId="0" xr:uid="{436F2A3D-5486-4EF3-BEDC-110676D8DA3D}">
      <text>
        <r>
          <rPr>
            <b/>
            <sz val="9"/>
            <color indexed="81"/>
            <rFont val="Segoe UI"/>
            <family val="2"/>
            <charset val="238"/>
          </rPr>
          <t>PrO Lendak:</t>
        </r>
        <r>
          <rPr>
            <sz val="9"/>
            <color indexed="81"/>
            <rFont val="Segoe UI"/>
            <family val="2"/>
            <charset val="238"/>
          </rPr>
          <t xml:space="preserve">
dokončenie interiéru zasadačky nad poštou+kancelária účtovníčky obce</t>
        </r>
      </text>
    </comment>
    <comment ref="E21" authorId="1" shapeId="0" xr:uid="{A9173A88-5AB2-457E-B42D-DAAFFE5BACD5}">
      <text>
        <r>
          <rPr>
            <b/>
            <sz val="9"/>
            <color indexed="81"/>
            <rFont val="Segoe UI"/>
            <family val="2"/>
            <charset val="238"/>
          </rPr>
          <t>PrO Lendak:</t>
        </r>
        <r>
          <rPr>
            <sz val="9"/>
            <color indexed="81"/>
            <rFont val="Segoe UI"/>
            <family val="2"/>
            <charset val="238"/>
          </rPr>
          <t xml:space="preserve">
21 000€ verejné osvetlenie Predná Hora - 30 stĺpov;
3 000 € verejné osvetlenie - Jarná dokončenie - 3 stĺpy;
3 000 € verejné osvetlenie - chodníky - 3 stĺpy;
3 000 € verejné osvetlenie - Hlavná smer Harmónia - 3 stĺpy;</t>
        </r>
      </text>
    </comment>
    <comment ref="F22" authorId="0" shapeId="0" xr:uid="{9E2501C2-F8C8-4243-BE75-9D7A78EBDDD4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nev. Prostriedky z roku 2020 vrátené obci v roku 2021= 
bežná činnosť (MKÚ, VO údržba, VR údržba, ...)= 14 084,66€
bežná činnosť TKO = 2356,52€
bežná činnosť TKO divoké skládky = 165,59 €
bežná činnosť zemné práce a odvodnenie = 4477,20€
výstavba aut. Zastávok = 2272,20€
zateplenie Ocú = 2071,22€</t>
        </r>
      </text>
    </comment>
    <comment ref="E31" authorId="0" shapeId="0" xr:uid="{EE181B3F-1859-494E-B004-896EA0B7ECA4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výstavba SKV - 130818€;
3000€ = porealizačné zameranie splaškovej kanalizácie (Lemeje, Jána Vojtaššáka, Jarná, ...);
2000€ = projekt na splaškovú kanalizáciu na Mlynskej ulici (okolo rieky);
2000€ = projekt na ulicu Jána Krstiteľa - splašková kanalizácia </t>
        </r>
      </text>
    </comment>
    <comment ref="H31" authorId="0" shapeId="0" xr:uid="{D8A4F40A-0827-4B84-A5B6-AC8F428F4911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viď výdavková časť</t>
        </r>
      </text>
    </comment>
    <comment ref="E32" authorId="0" shapeId="0" xr:uid="{3BECA576-F524-434C-B768-50E1316A335C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8000€ = vodovod na nové IBV (Pod Kicorou, Rovinky - celá oblasť);
2000€ = projekt na ulicu Jána Krstiteľa - vodovod</t>
        </r>
      </text>
    </comment>
    <comment ref="F34" authorId="0" shapeId="0" xr:uid="{C618CE17-6B96-47A1-9D54-DCD90C91BB69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nev. Prostriedky z roku 2020 vrátené obci v roku 2021= 
výstavba kanalizácie = 629,15€</t>
        </r>
      </text>
    </comment>
    <comment ref="E62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1600 - benzín
900 - oprava, servis, špeciálne kvapaliny, STK, poistenie</t>
        </r>
      </text>
    </comment>
    <comment ref="E65" authorId="0" shapeId="0" xr:uid="{3D696ADD-5776-4A60-9E32-8B7FFC9112F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budova PrO </t>
        </r>
      </text>
    </comment>
    <comment ref="E66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údržba IVES, poštovné, poplatky banke, telefón, poplatok RTVS; iné, školenia</t>
        </r>
      </text>
    </comment>
    <comment ref="E68" authorId="0" shapeId="0" xr:uid="{12D7FDE4-D893-4052-B3F2-ED183B92FD58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4000€ - nové brány na cintorín;</t>
        </r>
      </text>
    </comment>
    <comment ref="H68" authorId="0" shapeId="0" xr:uid="{FD4579DA-ADE9-4FF3-8550-9ACE9BDAA35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cena za 3x kované brány aj so zábradlím - (presun z výstavby splaškovej kanalizácie)</t>
        </r>
      </text>
    </comment>
    <comment ref="E79" authorId="0" shapeId="0" xr:uid="{D3DB8243-6A5F-4E2C-AA2A-63F6BC99707C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7 500€ -kamenivo a chem. posyp; 
9 000€ - 3 lapače oprava- Poľná, Potočná, Na Kosorku
2 000€ - spevnenie krajníc po asfaltovaní v dĺžke cca 750 m
5 000€ - oprava výtlkov po zime
8 500€ - nafta;</t>
        </r>
      </text>
    </comment>
    <comment ref="E80" authorId="1" shapeId="0" xr:uid="{1BD177D6-4D78-4325-BD5D-B898B4A157A5}">
      <text>
        <r>
          <rPr>
            <b/>
            <sz val="9"/>
            <color indexed="81"/>
            <rFont val="Segoe UI"/>
            <family val="2"/>
            <charset val="238"/>
          </rPr>
          <t>PrO Lendak:</t>
        </r>
        <r>
          <rPr>
            <sz val="9"/>
            <color indexed="81"/>
            <rFont val="Segoe UI"/>
            <family val="2"/>
            <charset val="238"/>
          </rPr>
          <t xml:space="preserve">
10 000€ - rekonštrukcia chodníka - Kostolná-Zadná (nová dlažba+obrubníky+zosvahovanie pomocou L-prefabrikátov (bezbariérový prístup))
1 500 € - pokládka starej dlažby na ul. Jána Pavla II. ;
3 000 € - doplnenie zábradlia na vyvýšenom chodníku na Hlavnej ul.+oprava chodníka (v zákrute sa posúva oporný prefabrikát)</t>
        </r>
      </text>
    </comment>
    <comment ref="H80" authorId="0" shapeId="0" xr:uid="{8E7C47C6-850A-4C6C-8225-28030A603FD9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úspora z verejného obstarávania</t>
        </r>
      </text>
    </comment>
    <comment ref="H81" authorId="0" shapeId="0" xr:uid="{E1CD933A-62B8-4D20-A44E-90131A52C253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vyššia spotreba na údržbe dopravné ho značenia - 4x dopravné zrkadlá a farba na maľovanie prechodov </t>
        </r>
      </text>
    </comment>
    <comment ref="E86" authorId="1" shapeId="0" xr:uid="{B7FF94B6-4C33-4CC0-B0F1-7F49215A982C}">
      <text>
        <r>
          <rPr>
            <b/>
            <sz val="9"/>
            <color indexed="81"/>
            <rFont val="Segoe UI"/>
            <family val="2"/>
            <charset val="238"/>
          </rPr>
          <t>PrO Lendak:</t>
        </r>
        <r>
          <rPr>
            <sz val="9"/>
            <color indexed="81"/>
            <rFont val="Segoe UI"/>
            <family val="2"/>
            <charset val="238"/>
          </rPr>
          <t xml:space="preserve">
21 000€ verejné osvetlenie Predná Hora - 30 stĺpov;
3 000 € verejné osvetlenie - Jarná dokončenie - 3 stĺpy;
3 000 € verejné osvetlenie - chodníky - 3 stĺpy;
3 000 € verejné osvetlenie - Hlavná smer Harmónia - 3 stĺpy;</t>
        </r>
      </text>
    </comment>
    <comment ref="E90" authorId="0" shapeId="0" xr:uid="{84734141-C713-4CC5-9492-2B443BE1A8A3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údržba detského ihriska vo Dvore; jarné orezávanie konárov; vianočná výzdoba</t>
        </r>
      </text>
    </comment>
    <comment ref="E94" authorId="0" shapeId="0" xr:uid="{FA796352-343B-4F5B-B21D-B9BED7631F93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JCB - servis zadného ramena = 3200€;
JCB - 2x servis = 3000€;
MAN - brity na snehovú radlicu= 600€;
Poistenie na vozidlá = 1300€;
Ostatné opravy a servis, STK, EK, atď = 2 400€</t>
        </r>
      </text>
    </comment>
    <comment ref="E112" authorId="0" shapeId="0" xr:uid="{F72F137A-DC27-4474-B86B-FF56C2023A87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dotriedenie = 18 600€
nákup 26 400 žltých vriec = 2 850€
nafta = 1 600€
iné výdavky = 1 000€ (alikvótne roz. výdavky na opravu aút, poistenie PZP, poštovné, atď)</t>
        </r>
      </text>
    </comment>
    <comment ref="E113" authorId="0" shapeId="0" xr:uid="{1047622B-B52F-42BD-86D9-632E015A0641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dotriedenie = 600€
nákup 3 000 zelených vriec = 330€
nafta = 800€
iné výdavky = 500€ (alikvótne roz. výdavky na opravu aút, poistenie PZP, poštovné, atď)</t>
        </r>
      </text>
    </comment>
    <comment ref="E114" authorId="0" shapeId="0" xr:uid="{E3FEC71C-EFF1-4352-9A63-BD368C8D71D7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dotriedenie = 5400€
nákup 2 000 modrých vriec = 220€
nafta = 300€
iné výdavky = 300€ (alikvótne roz. výdavky na opravu aút, poistenie PZP, poštovné, atď)</t>
        </r>
      </text>
    </comment>
    <comment ref="E115" authorId="0" shapeId="0" xr:uid="{3673E52D-B225-4EA2-B92E-29ADE226BD88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dotriedenie = 5400€
nákup 3 000 červených a 1000 oranžových vriec = 440€
nafta = 800€
iné výdavky = 500€ (alikvótne roz. výdavky na opravu aút, poistenie PZP, poštovné, atď)</t>
        </r>
      </text>
    </comment>
    <comment ref="E131" authorId="0" shapeId="0" xr:uid="{4B7CC3D4-4A20-42DC-85A2-6C561157E916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15 000 € - MK odvodnenie - plastové rúry s priemerom 600 mm SN8 a žb rúry DN 800 mm, cez cestu so železobet. rúrami; v celkovej dĺžke 95(Plastové 600) a 105 metrov(žb 800) (cez gaberka-birošíka) (Plastové 7600€, žb. rúry 5600€, kamenivo 800€, nafta 1000€;
2 000 € - dokončenie odvodnenia na moste na Potočnej;
7 500 € - MK odvodnenie pred parkom a popod Kino Goral (BGU žľab, obrubníky, priekopové žľaby);
1 000 € - oprava "školského kanála" na Mlynskej ulici
               </t>
        </r>
      </text>
    </comment>
    <comment ref="E132" authorId="2" shapeId="0" xr:uid="{00000000-0006-0000-0000-00000B000000}">
      <text>
        <r>
          <rPr>
            <b/>
            <sz val="9"/>
            <color indexed="81"/>
            <rFont val="Segoe UI"/>
            <family val="2"/>
            <charset val="238"/>
          </rPr>
          <t>DSL:</t>
        </r>
        <r>
          <rPr>
            <sz val="9"/>
            <color indexed="81"/>
            <rFont val="Segoe UI"/>
            <family val="2"/>
            <charset val="238"/>
          </rPr>
          <t xml:space="preserve">
Zemné práce - Lokalita Predná Hora po uložení splaškovej kanalizácie = 27 000€
Zemné práce - bagrovanie cesty od Sintry po richtársku cestu+nová cesta pod Kicorou od šatní=  12 000€;
Zemné práce - vysypať cestu k ČOV po uložení VN = 3500€
Ďalšie ZP 4000€ - iné;                        </t>
        </r>
      </text>
    </comment>
    <comment ref="E151" authorId="0" shapeId="0" xr:uid="{0B790797-A6CA-4011-8881-C5FACE006F9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budova PrO</t>
        </r>
      </text>
    </comment>
    <comment ref="E155" authorId="0" shapeId="0" xr:uid="{00000000-0006-0000-0000-00000F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500 - benzín
700 - oprava, servis, špeciálne kvapaliny, STK, poistenie</t>
        </r>
      </text>
    </comment>
    <comment ref="E158" authorId="0" shapeId="0" xr:uid="{00000000-0006-0000-0000-000011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nájom kopírky, poštovné, telefón, poplatok RTVS, rekreačné poukazy, </t>
        </r>
      </text>
    </comment>
    <comment ref="E161" authorId="0" shapeId="0" xr:uid="{231ABFFC-28AB-4B78-AD3F-D2FB2B2F7784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výmena 170 vodomerov</t>
        </r>
      </text>
    </comment>
    <comment ref="E163" authorId="0" shapeId="0" xr:uid="{00000000-0006-0000-0000-000013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1500 el. energia
1300 rozbor vody
5000 poplatok štátu
500 iné</t>
        </r>
      </text>
    </comment>
    <comment ref="E171" authorId="0" shapeId="0" xr:uid="{00000000-0006-0000-0000-000017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6500 el. energia
1000 vývoz kalu
1000 nafta + drobný mat.+ostatné služby
</t>
        </r>
      </text>
    </comment>
    <comment ref="E172" authorId="0" shapeId="0" xr:uid="{00000000-0006-0000-0000-000019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24 000 el. energia
1 200€ nafta + ost. Služby a drobný materiál
3 200€ - zmluva o prevádzkovaní ČOV s W-kontrol.
3000€ - vývoz zhrabiek z čističky</t>
        </r>
      </text>
    </comment>
    <comment ref="E188" authorId="2" shapeId="0" xr:uid="{00000000-0006-0000-0000-00001D000000}">
      <text>
        <r>
          <rPr>
            <b/>
            <sz val="9"/>
            <color indexed="81"/>
            <rFont val="Segoe UI"/>
            <family val="2"/>
            <charset val="238"/>
          </rPr>
          <t xml:space="preserve">DSL: </t>
        </r>
        <r>
          <rPr>
            <sz val="9"/>
            <color indexed="81"/>
            <rFont val="Segoe UI"/>
            <family val="2"/>
            <charset val="238"/>
          </rPr>
          <t xml:space="preserve">
Cena 1m = cca 130€
Lokalita Predná Hora- 500 m - hlavné kanalizačné potrubie + 500 m prípojok= 55 000€
3000€ = porealizačné zameranie splaškovej kanalizácie (Lemeje, Jána Vojtaššáka, Jarná, ...);
2000€ = projekt na splaškovú kanalizáciu na Mlynskej ulici (okolo rieky);
2000€ = projekt na ulicu Jána Krstiteľa - splašková kanalizácia a vodovod               </t>
        </r>
      </text>
    </comment>
    <comment ref="H188" authorId="0" shapeId="0" xr:uid="{9612A492-F5B4-47FD-BA38-B0A54B14596F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úspora</t>
        </r>
      </text>
    </comment>
  </commentList>
</comments>
</file>

<file path=xl/sharedStrings.xml><?xml version="1.0" encoding="utf-8"?>
<sst xmlns="http://schemas.openxmlformats.org/spreadsheetml/2006/main" count="467" uniqueCount="173">
  <si>
    <t>(sumy sú uvádzané v €)</t>
  </si>
  <si>
    <t>PRÍJMOVÁ ČASŤ</t>
  </si>
  <si>
    <t>Text</t>
  </si>
  <si>
    <t xml:space="preserve"> </t>
  </si>
  <si>
    <t>BEŽNÉ PRÍJMY SPOLU</t>
  </si>
  <si>
    <t>VÝDAVKOVÁ ČASŤ</t>
  </si>
  <si>
    <t>Služby občanom</t>
  </si>
  <si>
    <t>Bezpečnosť, právo a poriadok</t>
  </si>
  <si>
    <t>Odpadové hospodárstvo</t>
  </si>
  <si>
    <t>Pozemné komunikácie</t>
  </si>
  <si>
    <t>Všeobecný materiál</t>
  </si>
  <si>
    <t>Prostredie pre život</t>
  </si>
  <si>
    <t>Stravovanie</t>
  </si>
  <si>
    <t>Podporná činnosť</t>
  </si>
  <si>
    <t>VÝDAVKY SPOLU</t>
  </si>
  <si>
    <t>Návrhy rozpočtov</t>
  </si>
  <si>
    <t>Rekonštukcia ČOV</t>
  </si>
  <si>
    <t>MK - odvodnenie, lapače (príspevok)</t>
  </si>
  <si>
    <t>Zdroj</t>
  </si>
  <si>
    <t>41</t>
  </si>
  <si>
    <t>Položka, podpoložka</t>
  </si>
  <si>
    <t xml:space="preserve">Mzdové náklady </t>
  </si>
  <si>
    <t>Služby občanom - cintorín</t>
  </si>
  <si>
    <t>Odvody</t>
  </si>
  <si>
    <t>Pracovné odevy, obuv a prac. pomôcky</t>
  </si>
  <si>
    <t>Prídel do sociálneho fondu</t>
  </si>
  <si>
    <t>Knihy - odborná literatúra</t>
  </si>
  <si>
    <t>ostatné služby</t>
  </si>
  <si>
    <t>ostatný</t>
  </si>
  <si>
    <t>Program 12</t>
  </si>
  <si>
    <t>Cintorín údržba - šparovanie, kosenie, zber</t>
  </si>
  <si>
    <t>Požiarna ochrana - prehliadky</t>
  </si>
  <si>
    <t>Požiarna ochrana - protipožiarne prístrešky</t>
  </si>
  <si>
    <t>Protipožiarne povodňové šachty</t>
  </si>
  <si>
    <t>Protipožiarne označenie</t>
  </si>
  <si>
    <t>Cintorín - osvetlenie</t>
  </si>
  <si>
    <t>MK údržba</t>
  </si>
  <si>
    <t>Dopravné značenie</t>
  </si>
  <si>
    <t>Označenie ulíc</t>
  </si>
  <si>
    <t>Predlženie priepustov</t>
  </si>
  <si>
    <t>Verejné osvetlenie výstavba</t>
  </si>
  <si>
    <t>Verejné osvetlenie údržba</t>
  </si>
  <si>
    <t>Verejný rozhlas výstavba</t>
  </si>
  <si>
    <t>Verejný rozhlas údržba</t>
  </si>
  <si>
    <t>Verejné priestranstvo/verejná výzdoba</t>
  </si>
  <si>
    <t>Sklad; Garáže; ZDR; Budova OcÚ; Pošta; Ovocie a zeleniena</t>
  </si>
  <si>
    <t>Projekty na garáže</t>
  </si>
  <si>
    <t>Multicar s plošinou</t>
  </si>
  <si>
    <t>Koše na odpad</t>
  </si>
  <si>
    <t>Spolu</t>
  </si>
  <si>
    <t>Akcie obce</t>
  </si>
  <si>
    <t>Zábradlie - ul. Potočná (múzeum)</t>
  </si>
  <si>
    <t>Spevnené krajnice</t>
  </si>
  <si>
    <t>Hlavná činnosť</t>
  </si>
  <si>
    <t>Zber plastov</t>
  </si>
  <si>
    <t>Zber skla</t>
  </si>
  <si>
    <t>Zber papiera</t>
  </si>
  <si>
    <t>Zber nebezpečného odpadu</t>
  </si>
  <si>
    <t>Zber a odvoz TKO /MOK/</t>
  </si>
  <si>
    <t>Spolu hlavná činnosť</t>
  </si>
  <si>
    <t>Zberný dvor/Divoké skládky</t>
  </si>
  <si>
    <t>Údržba MK - Zemné práce+navážka štrku</t>
  </si>
  <si>
    <t>Podnikateľská činnosť</t>
  </si>
  <si>
    <t>Pohrebné služby</t>
  </si>
  <si>
    <t>Vodovod údržba</t>
  </si>
  <si>
    <t>Vodovod výstavba - rodinné prípojky</t>
  </si>
  <si>
    <t xml:space="preserve">Vodojem údržba </t>
  </si>
  <si>
    <t>Vodojem rauš, pramene</t>
  </si>
  <si>
    <t>Zásobné a prívodné potrubie</t>
  </si>
  <si>
    <t xml:space="preserve">Predľženie vodov.siete </t>
  </si>
  <si>
    <t>Splaškový kanál</t>
  </si>
  <si>
    <t>Prečerpávačky</t>
  </si>
  <si>
    <t>ČOV prevádzka, kontrola kanála</t>
  </si>
  <si>
    <t>Práce OcÚ</t>
  </si>
  <si>
    <t>Obyvateľstvo</t>
  </si>
  <si>
    <t>Výstavba - rozšírenie kanalizácie (a ČOV)</t>
  </si>
  <si>
    <t>Potok Gendreje</t>
  </si>
  <si>
    <t xml:space="preserve">Spolu </t>
  </si>
  <si>
    <t>Spolu podnikateľská činnosť</t>
  </si>
  <si>
    <t xml:space="preserve">Služby občanom </t>
  </si>
  <si>
    <t>Spolu 04;06;12</t>
  </si>
  <si>
    <t>Príspevok od obce</t>
  </si>
  <si>
    <t>Vlastné príjmy</t>
  </si>
  <si>
    <t>TKO separovaný zber</t>
  </si>
  <si>
    <t>Iné príjmy</t>
  </si>
  <si>
    <t>Iná podnikateľská činnosť</t>
  </si>
  <si>
    <t xml:space="preserve">Iné - práce OcÚ </t>
  </si>
  <si>
    <t>Odber vody</t>
  </si>
  <si>
    <t>Vodovodné prípojky</t>
  </si>
  <si>
    <t>Poškodené vodomery</t>
  </si>
  <si>
    <t>Vodomer vlastný zdroj</t>
  </si>
  <si>
    <t>Stočné</t>
  </si>
  <si>
    <t>Náhrady,refundácie</t>
  </si>
  <si>
    <t>Bežný tr.-,sp.kraj.,divoké skládky</t>
  </si>
  <si>
    <t>Volvo - opravy, údržba, špec. kvapaliny, poistenie</t>
  </si>
  <si>
    <t>Dopravné - Dacia</t>
  </si>
  <si>
    <t>Renault</t>
  </si>
  <si>
    <t>Nové vozidlo nákladné</t>
  </si>
  <si>
    <t>Bežný tr.-MK odvodnenie/ Zemné práce</t>
  </si>
  <si>
    <t>Práce pre iné PO</t>
  </si>
  <si>
    <t>Dane (DPH)</t>
  </si>
  <si>
    <t>Rozpočet po úpravách</t>
  </si>
  <si>
    <t>prostriedky z predchádzajúcich rokov</t>
  </si>
  <si>
    <t>Náhrady príjmu</t>
  </si>
  <si>
    <t>Šatne pri ihrisku</t>
  </si>
  <si>
    <t>Reverzná vibračná lišta</t>
  </si>
  <si>
    <t>Zametač na traktor</t>
  </si>
  <si>
    <t>Vodovod - bežný transfer</t>
  </si>
  <si>
    <t>Energie - plyn + el. energia</t>
  </si>
  <si>
    <t>Náhrady príjmu/ odchodné</t>
  </si>
  <si>
    <t xml:space="preserve">Rekonštrukcia chodníkov </t>
  </si>
  <si>
    <t>Interiérové vybavenie</t>
  </si>
  <si>
    <t>Výpočtová technika</t>
  </si>
  <si>
    <t>Notebook, skartovačka</t>
  </si>
  <si>
    <t>Kapitálový tr.- Most Sv. Rodiny</t>
  </si>
  <si>
    <t>Kapitálový tr.- Rezačka drážok na asfalt</t>
  </si>
  <si>
    <t>Kapitálový tr.- Malotraktor s príslušenstvom</t>
  </si>
  <si>
    <t>Bežný tr. - Rekonštrukcia strechy obecného úradu</t>
  </si>
  <si>
    <t>223;229</t>
  </si>
  <si>
    <t>131;223001</t>
  </si>
  <si>
    <t>41;46</t>
  </si>
  <si>
    <t>FNC</t>
  </si>
  <si>
    <t>Oprava ČOV</t>
  </si>
  <si>
    <t>41;71</t>
  </si>
  <si>
    <t>0451</t>
  </si>
  <si>
    <t>610;637027</t>
  </si>
  <si>
    <t>633006;637035</t>
  </si>
  <si>
    <t>633009;637035</t>
  </si>
  <si>
    <t>633010;637035</t>
  </si>
  <si>
    <t>634; 637035</t>
  </si>
  <si>
    <t>632001; 637035</t>
  </si>
  <si>
    <t>0510</t>
  </si>
  <si>
    <t>0320</t>
  </si>
  <si>
    <t>0640</t>
  </si>
  <si>
    <t>0830</t>
  </si>
  <si>
    <t>0620</t>
  </si>
  <si>
    <t>634;637035</t>
  </si>
  <si>
    <t>71</t>
  </si>
  <si>
    <t>Rekonštrukcia strechy obecného úradu</t>
  </si>
  <si>
    <t>Výstavba nadstavby pošty</t>
  </si>
  <si>
    <t>0520</t>
  </si>
  <si>
    <t>632001;637035</t>
  </si>
  <si>
    <t>633001;637035</t>
  </si>
  <si>
    <t>0840</t>
  </si>
  <si>
    <t>0630</t>
  </si>
  <si>
    <t>717001</t>
  </si>
  <si>
    <t>717002</t>
  </si>
  <si>
    <t>Rekonštrukcia vodovodnej siete</t>
  </si>
  <si>
    <t>46;41</t>
  </si>
  <si>
    <t>Zber kovov - plechovky + VKM</t>
  </si>
  <si>
    <t xml:space="preserve">Bežný transfér Obce na HČ  </t>
  </si>
  <si>
    <t>Bežný transfér Obce na TKO</t>
  </si>
  <si>
    <t>Kapitálový transfer - zateplenie budovy Ocú</t>
  </si>
  <si>
    <t>Kapitálový transfer - prekládka plynovodu</t>
  </si>
  <si>
    <t>Práce pre PO</t>
  </si>
  <si>
    <t>Zateplenie budovy PrO</t>
  </si>
  <si>
    <t>Opravy a servis aút, poistenie (JCB, UN, MAN, Gazelle, Vega);</t>
  </si>
  <si>
    <t>Zber  VOK/ zberný dvor</t>
  </si>
  <si>
    <t>Kapitálový transfer - vybudovanie aut. zastávky</t>
  </si>
  <si>
    <t>Výstavba aut. zastávok</t>
  </si>
  <si>
    <t xml:space="preserve">vratka z nevyčerpaných kap. transferov </t>
  </si>
  <si>
    <t xml:space="preserve">vratky z nev. bežných transferov </t>
  </si>
  <si>
    <t>Kapitálový transfer - verejné osvetlenie</t>
  </si>
  <si>
    <t xml:space="preserve">Kapitálový transfer - nadstavba pošty/zasadačka </t>
  </si>
  <si>
    <t>Cintorín oprava</t>
  </si>
  <si>
    <t>Vodovod - kapitálový transfer - projektová dok.</t>
  </si>
  <si>
    <t>Kap. transfer - projektová dokumentácia - vodovod</t>
  </si>
  <si>
    <t xml:space="preserve"> Rozpočet 2021</t>
  </si>
  <si>
    <t xml:space="preserve">vratky z nev. kapitálových transferov </t>
  </si>
  <si>
    <t>Úprava 08.03.2021</t>
  </si>
  <si>
    <t>Úprava 28.06.2021</t>
  </si>
  <si>
    <t>Rozpočtové opatrenie PrO 03_2021</t>
  </si>
  <si>
    <t>Úprava 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</si>
</sst>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969696"/>
      </patternFill>
    </fill>
    <fill>
      <patternFill patternType="solid">
        <fgColor rgb="FFC4D79B"/>
        <bgColor rgb="FF969696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7" xfId="1" applyFont="1" applyFill="1" applyBorder="1"/>
    <xf numFmtId="0" fontId="8" fillId="2" borderId="5" xfId="1" applyFont="1" applyFill="1" applyBorder="1"/>
    <xf numFmtId="0" fontId="8" fillId="2" borderId="5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10" fillId="5" borderId="1" xfId="1" applyFont="1" applyFill="1" applyBorder="1"/>
    <xf numFmtId="0" fontId="10" fillId="6" borderId="1" xfId="1" applyFont="1" applyFill="1" applyBorder="1"/>
    <xf numFmtId="2" fontId="7" fillId="5" borderId="1" xfId="0" applyNumberFormat="1" applyFont="1" applyFill="1" applyBorder="1"/>
    <xf numFmtId="0" fontId="11" fillId="0" borderId="1" xfId="1" applyFont="1" applyBorder="1"/>
    <xf numFmtId="0" fontId="11" fillId="3" borderId="1" xfId="1" applyFont="1" applyFill="1" applyBorder="1"/>
    <xf numFmtId="2" fontId="4" fillId="11" borderId="1" xfId="0" applyNumberFormat="1" applyFont="1" applyFill="1" applyBorder="1"/>
    <xf numFmtId="0" fontId="11" fillId="0" borderId="13" xfId="1" applyFont="1" applyBorder="1"/>
    <xf numFmtId="0" fontId="11" fillId="0" borderId="9" xfId="1" applyFont="1" applyBorder="1"/>
    <xf numFmtId="0" fontId="12" fillId="9" borderId="13" xfId="1" applyFont="1" applyFill="1" applyBorder="1"/>
    <xf numFmtId="0" fontId="12" fillId="9" borderId="9" xfId="1" applyFont="1" applyFill="1" applyBorder="1"/>
    <xf numFmtId="0" fontId="13" fillId="9" borderId="1" xfId="1" applyFont="1" applyFill="1" applyBorder="1"/>
    <xf numFmtId="2" fontId="13" fillId="9" borderId="1" xfId="1" applyNumberFormat="1" applyFont="1" applyFill="1" applyBorder="1"/>
    <xf numFmtId="2" fontId="14" fillId="9" borderId="1" xfId="0" applyNumberFormat="1" applyFont="1" applyFill="1" applyBorder="1"/>
    <xf numFmtId="2" fontId="8" fillId="12" borderId="1" xfId="1" applyNumberFormat="1" applyFont="1" applyFill="1" applyBorder="1"/>
    <xf numFmtId="0" fontId="11" fillId="4" borderId="1" xfId="1" applyFont="1" applyFill="1" applyBorder="1"/>
    <xf numFmtId="0" fontId="15" fillId="3" borderId="0" xfId="0" applyFont="1" applyFill="1"/>
    <xf numFmtId="2" fontId="6" fillId="11" borderId="1" xfId="0" applyNumberFormat="1" applyFont="1" applyFill="1" applyBorder="1"/>
    <xf numFmtId="0" fontId="11" fillId="7" borderId="1" xfId="1" applyFont="1" applyFill="1" applyBorder="1"/>
    <xf numFmtId="0" fontId="11" fillId="8" borderId="1" xfId="1" applyFont="1" applyFill="1" applyBorder="1"/>
    <xf numFmtId="0" fontId="4" fillId="0" borderId="0" xfId="0" applyFont="1"/>
    <xf numFmtId="0" fontId="17" fillId="2" borderId="7" xfId="0" applyFont="1" applyFill="1" applyBorder="1" applyAlignment="1">
      <alignment horizontal="left"/>
    </xf>
    <xf numFmtId="2" fontId="17" fillId="2" borderId="5" xfId="0" applyNumberFormat="1" applyFont="1" applyFill="1" applyBorder="1"/>
    <xf numFmtId="0" fontId="4" fillId="0" borderId="0" xfId="0" applyFont="1" applyBorder="1"/>
    <xf numFmtId="0" fontId="8" fillId="2" borderId="1" xfId="1" applyFont="1" applyFill="1" applyBorder="1"/>
    <xf numFmtId="49" fontId="11" fillId="0" borderId="1" xfId="1" applyNumberFormat="1" applyFont="1" applyBorder="1"/>
    <xf numFmtId="49" fontId="8" fillId="6" borderId="13" xfId="1" applyNumberFormat="1" applyFont="1" applyFill="1" applyBorder="1"/>
    <xf numFmtId="49" fontId="8" fillId="6" borderId="9" xfId="1" applyNumberFormat="1" applyFont="1" applyFill="1" applyBorder="1"/>
    <xf numFmtId="0" fontId="8" fillId="6" borderId="1" xfId="1" applyFont="1" applyFill="1" applyBorder="1"/>
    <xf numFmtId="2" fontId="8" fillId="6" borderId="1" xfId="1" applyNumberFormat="1" applyFont="1" applyFill="1" applyBorder="1"/>
    <xf numFmtId="2" fontId="9" fillId="5" borderId="1" xfId="0" applyNumberFormat="1" applyFont="1" applyFill="1" applyBorder="1"/>
    <xf numFmtId="0" fontId="11" fillId="13" borderId="1" xfId="0" applyFont="1" applyFill="1" applyBorder="1"/>
    <xf numFmtId="0" fontId="11" fillId="0" borderId="1" xfId="0" applyFont="1" applyBorder="1"/>
    <xf numFmtId="0" fontId="3" fillId="3" borderId="0" xfId="0" applyFont="1" applyFill="1"/>
    <xf numFmtId="49" fontId="12" fillId="9" borderId="9" xfId="1" applyNumberFormat="1" applyFont="1" applyFill="1" applyBorder="1"/>
    <xf numFmtId="0" fontId="16" fillId="0" borderId="1" xfId="0" applyFont="1" applyBorder="1"/>
    <xf numFmtId="49" fontId="12" fillId="9" borderId="13" xfId="1" applyNumberFormat="1" applyFont="1" applyFill="1" applyBorder="1"/>
    <xf numFmtId="49" fontId="11" fillId="4" borderId="1" xfId="1" applyNumberFormat="1" applyFont="1" applyFill="1" applyBorder="1"/>
    <xf numFmtId="0" fontId="18" fillId="10" borderId="2" xfId="1" applyFont="1" applyFill="1" applyBorder="1"/>
    <xf numFmtId="0" fontId="19" fillId="0" borderId="0" xfId="0" applyFont="1" applyAlignment="1">
      <alignment horizontal="left"/>
    </xf>
    <xf numFmtId="2" fontId="6" fillId="11" borderId="1" xfId="0" applyNumberFormat="1" applyFont="1" applyFill="1" applyBorder="1" applyAlignment="1">
      <alignment wrapText="1"/>
    </xf>
    <xf numFmtId="2" fontId="6" fillId="15" borderId="1" xfId="0" applyNumberFormat="1" applyFont="1" applyFill="1" applyBorder="1"/>
    <xf numFmtId="49" fontId="11" fillId="4" borderId="0" xfId="1" applyNumberFormat="1" applyFont="1" applyFill="1" applyBorder="1"/>
    <xf numFmtId="49" fontId="11" fillId="4" borderId="13" xfId="1" applyNumberFormat="1" applyFont="1" applyFill="1" applyBorder="1"/>
    <xf numFmtId="49" fontId="11" fillId="3" borderId="13" xfId="1" applyNumberFormat="1" applyFont="1" applyFill="1" applyBorder="1"/>
    <xf numFmtId="0" fontId="11" fillId="3" borderId="9" xfId="1" applyFont="1" applyFill="1" applyBorder="1"/>
    <xf numFmtId="0" fontId="12" fillId="9" borderId="13" xfId="1" applyFont="1" applyFill="1" applyBorder="1"/>
    <xf numFmtId="49" fontId="8" fillId="6" borderId="13" xfId="1" applyNumberFormat="1" applyFont="1" applyFill="1" applyBorder="1"/>
    <xf numFmtId="0" fontId="23" fillId="0" borderId="1" xfId="1" applyFont="1" applyBorder="1"/>
    <xf numFmtId="0" fontId="23" fillId="0" borderId="9" xfId="1" applyFont="1" applyBorder="1"/>
    <xf numFmtId="0" fontId="23" fillId="0" borderId="1" xfId="1" applyFont="1" applyBorder="1" applyAlignment="1">
      <alignment horizontal="right"/>
    </xf>
    <xf numFmtId="0" fontId="23" fillId="16" borderId="1" xfId="1" applyFont="1" applyFill="1" applyBorder="1" applyAlignment="1">
      <alignment horizontal="right"/>
    </xf>
    <xf numFmtId="0" fontId="23" fillId="16" borderId="1" xfId="1" applyFont="1" applyFill="1" applyBorder="1"/>
    <xf numFmtId="0" fontId="23" fillId="17" borderId="1" xfId="1" applyFont="1" applyFill="1" applyBorder="1" applyAlignment="1">
      <alignment horizontal="right"/>
    </xf>
    <xf numFmtId="0" fontId="25" fillId="16" borderId="1" xfId="1" applyFont="1" applyFill="1" applyBorder="1"/>
    <xf numFmtId="49" fontId="23" fillId="0" borderId="1" xfId="1" applyNumberFormat="1" applyFont="1" applyBorder="1"/>
    <xf numFmtId="49" fontId="24" fillId="16" borderId="1" xfId="1" applyNumberFormat="1" applyFont="1" applyFill="1" applyBorder="1"/>
    <xf numFmtId="3" fontId="23" fillId="0" borderId="1" xfId="1" applyNumberFormat="1" applyFont="1" applyBorder="1" applyAlignment="1">
      <alignment horizontal="right"/>
    </xf>
    <xf numFmtId="49" fontId="23" fillId="0" borderId="13" xfId="1" applyNumberFormat="1" applyFont="1" applyBorder="1"/>
    <xf numFmtId="49" fontId="26" fillId="18" borderId="13" xfId="1" applyNumberFormat="1" applyFont="1" applyFill="1" applyBorder="1"/>
    <xf numFmtId="49" fontId="26" fillId="18" borderId="9" xfId="1" applyNumberFormat="1" applyFont="1" applyFill="1" applyBorder="1"/>
    <xf numFmtId="0" fontId="26" fillId="18" borderId="1" xfId="1" applyFont="1" applyFill="1" applyBorder="1"/>
    <xf numFmtId="49" fontId="27" fillId="19" borderId="13" xfId="1" applyNumberFormat="1" applyFont="1" applyFill="1" applyBorder="1"/>
    <xf numFmtId="49" fontId="27" fillId="19" borderId="9" xfId="1" applyNumberFormat="1" applyFont="1" applyFill="1" applyBorder="1"/>
    <xf numFmtId="0" fontId="28" fillId="19" borderId="1" xfId="1" applyFont="1" applyFill="1" applyBorder="1"/>
    <xf numFmtId="49" fontId="24" fillId="20" borderId="13" xfId="1" applyNumberFormat="1" applyFont="1" applyFill="1" applyBorder="1"/>
    <xf numFmtId="0" fontId="23" fillId="20" borderId="1" xfId="1" applyFont="1" applyFill="1" applyBorder="1"/>
    <xf numFmtId="49" fontId="24" fillId="20" borderId="1" xfId="1" applyNumberFormat="1" applyFont="1" applyFill="1" applyBorder="1"/>
    <xf numFmtId="49" fontId="23" fillId="17" borderId="1" xfId="1" applyNumberFormat="1" applyFont="1" applyFill="1" applyBorder="1"/>
    <xf numFmtId="49" fontId="23" fillId="17" borderId="1" xfId="1" applyNumberFormat="1" applyFont="1" applyFill="1" applyBorder="1" applyAlignment="1">
      <alignment horizontal="right"/>
    </xf>
    <xf numFmtId="49" fontId="23" fillId="17" borderId="9" xfId="1" applyNumberFormat="1" applyFont="1" applyFill="1" applyBorder="1" applyAlignment="1">
      <alignment horizontal="right"/>
    </xf>
    <xf numFmtId="0" fontId="23" fillId="0" borderId="1" xfId="0" applyFont="1" applyBorder="1"/>
    <xf numFmtId="49" fontId="23" fillId="16" borderId="1" xfId="1" applyNumberFormat="1" applyFont="1" applyFill="1" applyBorder="1"/>
    <xf numFmtId="0" fontId="23" fillId="17" borderId="1" xfId="1" applyFont="1" applyFill="1" applyBorder="1"/>
    <xf numFmtId="2" fontId="4" fillId="21" borderId="1" xfId="0" applyNumberFormat="1" applyFont="1" applyFill="1" applyBorder="1"/>
    <xf numFmtId="1" fontId="4" fillId="11" borderId="1" xfId="0" applyNumberFormat="1" applyFont="1" applyFill="1" applyBorder="1"/>
    <xf numFmtId="1" fontId="6" fillId="15" borderId="1" xfId="0" applyNumberFormat="1" applyFont="1" applyFill="1" applyBorder="1"/>
    <xf numFmtId="1" fontId="4" fillId="21" borderId="1" xfId="0" applyNumberFormat="1" applyFont="1" applyFill="1" applyBorder="1"/>
    <xf numFmtId="1" fontId="6" fillId="11" borderId="1" xfId="0" applyNumberFormat="1" applyFont="1" applyFill="1" applyBorder="1"/>
    <xf numFmtId="1" fontId="13" fillId="9" borderId="1" xfId="1" applyNumberFormat="1" applyFont="1" applyFill="1" applyBorder="1"/>
    <xf numFmtId="1" fontId="8" fillId="12" borderId="1" xfId="1" applyNumberFormat="1" applyFont="1" applyFill="1" applyBorder="1"/>
    <xf numFmtId="1" fontId="17" fillId="2" borderId="5" xfId="0" applyNumberFormat="1" applyFont="1" applyFill="1" applyBorder="1"/>
    <xf numFmtId="1" fontId="9" fillId="5" borderId="1" xfId="0" applyNumberFormat="1" applyFont="1" applyFill="1" applyBorder="1"/>
    <xf numFmtId="1" fontId="14" fillId="9" borderId="1" xfId="0" applyNumberFormat="1" applyFont="1" applyFill="1" applyBorder="1"/>
    <xf numFmtId="1" fontId="8" fillId="6" borderId="1" xfId="1" applyNumberFormat="1" applyFont="1" applyFill="1" applyBorder="1"/>
    <xf numFmtId="0" fontId="11" fillId="8" borderId="1" xfId="1" applyFont="1" applyFill="1" applyBorder="1" applyAlignment="1">
      <alignment horizontal="right"/>
    </xf>
    <xf numFmtId="49" fontId="23" fillId="0" borderId="13" xfId="1" applyNumberFormat="1" applyFont="1" applyBorder="1" applyAlignment="1">
      <alignment horizontal="left"/>
    </xf>
    <xf numFmtId="0" fontId="23" fillId="0" borderId="9" xfId="1" applyFont="1" applyBorder="1" applyAlignment="1">
      <alignment horizontal="right"/>
    </xf>
    <xf numFmtId="49" fontId="11" fillId="0" borderId="13" xfId="1" applyNumberFormat="1" applyFont="1" applyBorder="1"/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" fontId="26" fillId="18" borderId="1" xfId="1" applyNumberFormat="1" applyFont="1" applyFill="1" applyBorder="1"/>
    <xf numFmtId="49" fontId="23" fillId="0" borderId="14" xfId="1" applyNumberFormat="1" applyFont="1" applyBorder="1" applyAlignment="1">
      <alignment horizontal="left"/>
    </xf>
    <xf numFmtId="0" fontId="8" fillId="2" borderId="17" xfId="0" applyFont="1" applyFill="1" applyBorder="1" applyAlignment="1">
      <alignment horizontal="center" wrapText="1"/>
    </xf>
    <xf numFmtId="2" fontId="26" fillId="18" borderId="1" xfId="1" applyNumberFormat="1" applyFont="1" applyFill="1" applyBorder="1"/>
    <xf numFmtId="0" fontId="8" fillId="12" borderId="14" xfId="1" applyFont="1" applyFill="1" applyBorder="1" applyAlignment="1">
      <alignment horizontal="left"/>
    </xf>
    <xf numFmtId="0" fontId="8" fillId="12" borderId="16" xfId="1" applyFont="1" applyFill="1" applyBorder="1" applyAlignment="1">
      <alignment horizontal="left"/>
    </xf>
    <xf numFmtId="0" fontId="8" fillId="12" borderId="15" xfId="1" applyFont="1" applyFill="1" applyBorder="1" applyAlignment="1">
      <alignment horizontal="left"/>
    </xf>
    <xf numFmtId="0" fontId="18" fillId="10" borderId="2" xfId="1" applyFont="1" applyFill="1" applyBorder="1"/>
    <xf numFmtId="0" fontId="18" fillId="10" borderId="3" xfId="1" applyFont="1" applyFill="1" applyBorder="1"/>
    <xf numFmtId="0" fontId="18" fillId="10" borderId="4" xfId="1" applyFont="1" applyFill="1" applyBorder="1"/>
    <xf numFmtId="0" fontId="8" fillId="14" borderId="14" xfId="1" applyFont="1" applyFill="1" applyBorder="1" applyAlignment="1">
      <alignment horizontal="center"/>
    </xf>
    <xf numFmtId="0" fontId="8" fillId="14" borderId="16" xfId="1" applyFont="1" applyFill="1" applyBorder="1" applyAlignment="1">
      <alignment horizontal="center"/>
    </xf>
    <xf numFmtId="0" fontId="8" fillId="14" borderId="15" xfId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0</xdr:colOff>
      <xdr:row>2</xdr:row>
      <xdr:rowOff>142875</xdr:rowOff>
    </xdr:to>
    <xdr:pic>
      <xdr:nvPicPr>
        <xdr:cNvPr id="2" name="Obrázok 1" descr="Lenda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6096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1"/>
  <sheetViews>
    <sheetView tabSelected="1" zoomScale="90" zoomScaleNormal="90" workbookViewId="0">
      <pane ySplit="6" topLeftCell="A7" activePane="bottomLeft" state="frozen"/>
      <selection pane="bottomLeft" activeCell="F207" sqref="F207"/>
    </sheetView>
  </sheetViews>
  <sheetFormatPr defaultColWidth="9.140625" defaultRowHeight="15" x14ac:dyDescent="0.25"/>
  <cols>
    <col min="1" max="1" width="9.140625" style="2"/>
    <col min="2" max="2" width="9.5703125" style="2" customWidth="1"/>
    <col min="3" max="3" width="13" style="2" customWidth="1"/>
    <col min="4" max="4" width="51.85546875" style="2" bestFit="1" customWidth="1"/>
    <col min="5" max="5" width="14.7109375" style="2" customWidth="1"/>
    <col min="6" max="6" width="10.7109375" style="2" bestFit="1" customWidth="1"/>
    <col min="7" max="8" width="10.7109375" style="2" customWidth="1"/>
    <col min="9" max="9" width="10.7109375" style="2" bestFit="1" customWidth="1"/>
    <col min="10" max="10" width="13.28515625" style="2" bestFit="1" customWidth="1"/>
    <col min="11" max="11" width="12.7109375" style="2" bestFit="1" customWidth="1"/>
    <col min="12" max="16384" width="9.140625" style="2"/>
  </cols>
  <sheetData>
    <row r="1" spans="1:9" ht="25.5" x14ac:dyDescent="0.35">
      <c r="A1" s="1"/>
      <c r="B1" s="117" t="s">
        <v>171</v>
      </c>
      <c r="C1" s="117"/>
      <c r="D1" s="117"/>
      <c r="E1" s="117"/>
      <c r="F1" s="117"/>
      <c r="G1" s="117"/>
      <c r="H1" s="117"/>
      <c r="I1" s="117"/>
    </row>
    <row r="2" spans="1:9" x14ac:dyDescent="0.25">
      <c r="A2" s="3"/>
      <c r="B2" s="118" t="s">
        <v>0</v>
      </c>
      <c r="C2" s="118"/>
      <c r="D2" s="118"/>
      <c r="E2" s="118"/>
      <c r="F2" s="118"/>
      <c r="G2" s="118"/>
      <c r="H2" s="118"/>
      <c r="I2" s="118"/>
    </row>
    <row r="3" spans="1:9" x14ac:dyDescent="0.25">
      <c r="A3" s="4"/>
      <c r="B3" s="4"/>
      <c r="C3" s="4"/>
      <c r="D3" s="5"/>
      <c r="E3" s="4"/>
      <c r="F3" s="4"/>
      <c r="G3" s="4"/>
      <c r="H3" s="4"/>
      <c r="I3" s="4"/>
    </row>
    <row r="4" spans="1:9" ht="6" customHeight="1" x14ac:dyDescent="0.25">
      <c r="A4" s="4"/>
      <c r="B4" s="4"/>
      <c r="C4" s="4"/>
      <c r="D4" s="5"/>
      <c r="E4" s="4"/>
      <c r="F4" s="4"/>
      <c r="G4" s="4"/>
      <c r="H4" s="4"/>
      <c r="I4" s="4"/>
    </row>
    <row r="5" spans="1:9" ht="15.75" thickBot="1" x14ac:dyDescent="0.3">
      <c r="A5" s="6"/>
      <c r="B5" s="6" t="s">
        <v>1</v>
      </c>
      <c r="C5" s="4"/>
      <c r="D5" s="5"/>
      <c r="E5" s="121" t="s">
        <v>15</v>
      </c>
      <c r="F5" s="122"/>
      <c r="G5" s="122"/>
      <c r="H5" s="122"/>
      <c r="I5" s="123"/>
    </row>
    <row r="6" spans="1:9" ht="29.25" customHeight="1" thickBot="1" x14ac:dyDescent="0.3">
      <c r="A6" s="7" t="s">
        <v>18</v>
      </c>
      <c r="B6" s="7" t="s">
        <v>121</v>
      </c>
      <c r="C6" s="8" t="s">
        <v>20</v>
      </c>
      <c r="D6" s="8" t="s">
        <v>2</v>
      </c>
      <c r="E6" s="9" t="s">
        <v>167</v>
      </c>
      <c r="F6" s="99" t="s">
        <v>169</v>
      </c>
      <c r="G6" s="99" t="s">
        <v>170</v>
      </c>
      <c r="H6" s="103" t="s">
        <v>172</v>
      </c>
      <c r="I6" s="100" t="s">
        <v>101</v>
      </c>
    </row>
    <row r="7" spans="1:9" x14ac:dyDescent="0.25">
      <c r="A7" s="111" t="s">
        <v>53</v>
      </c>
      <c r="B7" s="112"/>
      <c r="C7" s="112"/>
      <c r="D7" s="113"/>
      <c r="E7" s="10"/>
      <c r="F7" s="10"/>
      <c r="G7" s="10"/>
      <c r="H7" s="10"/>
      <c r="I7" s="10"/>
    </row>
    <row r="8" spans="1:9" x14ac:dyDescent="0.25">
      <c r="A8" s="11"/>
      <c r="B8" s="11" t="s">
        <v>3</v>
      </c>
      <c r="C8" s="12"/>
      <c r="D8" s="12" t="s">
        <v>81</v>
      </c>
      <c r="E8" s="12"/>
      <c r="F8" s="13"/>
      <c r="G8" s="13"/>
      <c r="H8" s="13"/>
      <c r="I8" s="13"/>
    </row>
    <row r="9" spans="1:9" x14ac:dyDescent="0.25">
      <c r="A9" s="58">
        <v>41</v>
      </c>
      <c r="B9" s="58"/>
      <c r="C9" s="58">
        <v>312007</v>
      </c>
      <c r="D9" s="14" t="s">
        <v>150</v>
      </c>
      <c r="E9" s="85">
        <f>E100-E21</f>
        <v>181652.625</v>
      </c>
      <c r="F9" s="16"/>
      <c r="G9" s="16"/>
      <c r="H9" s="16">
        <v>14268</v>
      </c>
      <c r="I9" s="16">
        <f>SUM(E9:H9)</f>
        <v>195920.625</v>
      </c>
    </row>
    <row r="10" spans="1:9" x14ac:dyDescent="0.25">
      <c r="A10" s="58">
        <v>41</v>
      </c>
      <c r="B10" s="58"/>
      <c r="C10" s="58">
        <v>312007</v>
      </c>
      <c r="D10" s="14" t="s">
        <v>151</v>
      </c>
      <c r="E10" s="85">
        <f>E119-E117-E26</f>
        <v>145910.29999999999</v>
      </c>
      <c r="F10" s="16"/>
      <c r="G10" s="16"/>
      <c r="H10" s="16"/>
      <c r="I10" s="16">
        <f t="shared" ref="I10:I16" si="0">SUM(E10:H10)</f>
        <v>145910.29999999999</v>
      </c>
    </row>
    <row r="11" spans="1:9" x14ac:dyDescent="0.25">
      <c r="A11" s="58">
        <v>41</v>
      </c>
      <c r="B11" s="58"/>
      <c r="C11" s="58">
        <v>312007</v>
      </c>
      <c r="D11" s="14" t="s">
        <v>93</v>
      </c>
      <c r="E11" s="85">
        <v>2000</v>
      </c>
      <c r="F11" s="16"/>
      <c r="G11" s="16"/>
      <c r="H11" s="16"/>
      <c r="I11" s="16">
        <f t="shared" si="0"/>
        <v>2000</v>
      </c>
    </row>
    <row r="12" spans="1:9" x14ac:dyDescent="0.25">
      <c r="A12" s="58">
        <v>41</v>
      </c>
      <c r="B12" s="58"/>
      <c r="C12" s="58">
        <v>312007</v>
      </c>
      <c r="D12" s="14" t="s">
        <v>98</v>
      </c>
      <c r="E12" s="85">
        <f>SUM(E121:E132)</f>
        <v>115615</v>
      </c>
      <c r="F12" s="16"/>
      <c r="G12" s="16"/>
      <c r="H12" s="16"/>
      <c r="I12" s="16">
        <f t="shared" si="0"/>
        <v>115615</v>
      </c>
    </row>
    <row r="13" spans="1:9" x14ac:dyDescent="0.25">
      <c r="A13" s="58">
        <v>41</v>
      </c>
      <c r="B13" s="58"/>
      <c r="C13" s="59">
        <v>322005</v>
      </c>
      <c r="D13" s="58" t="s">
        <v>114</v>
      </c>
      <c r="E13" s="85"/>
      <c r="F13" s="16"/>
      <c r="G13" s="16"/>
      <c r="H13" s="16"/>
      <c r="I13" s="16">
        <f t="shared" si="0"/>
        <v>0</v>
      </c>
    </row>
    <row r="14" spans="1:9" x14ac:dyDescent="0.25">
      <c r="A14" s="58">
        <v>41</v>
      </c>
      <c r="B14" s="58"/>
      <c r="C14" s="59">
        <v>322005</v>
      </c>
      <c r="D14" s="58" t="s">
        <v>115</v>
      </c>
      <c r="E14" s="85"/>
      <c r="F14" s="16"/>
      <c r="G14" s="16"/>
      <c r="H14" s="16"/>
      <c r="I14" s="16">
        <f t="shared" si="0"/>
        <v>0</v>
      </c>
    </row>
    <row r="15" spans="1:9" x14ac:dyDescent="0.25">
      <c r="A15" s="58">
        <v>41</v>
      </c>
      <c r="B15" s="58"/>
      <c r="C15" s="59">
        <v>322005</v>
      </c>
      <c r="D15" s="58" t="s">
        <v>116</v>
      </c>
      <c r="E15" s="85"/>
      <c r="F15" s="16"/>
      <c r="G15" s="16"/>
      <c r="H15" s="16"/>
      <c r="I15" s="16">
        <f t="shared" si="0"/>
        <v>0</v>
      </c>
    </row>
    <row r="16" spans="1:9" x14ac:dyDescent="0.25">
      <c r="A16" s="58">
        <v>41</v>
      </c>
      <c r="B16" s="58"/>
      <c r="C16" s="58">
        <v>312007</v>
      </c>
      <c r="D16" s="58" t="s">
        <v>117</v>
      </c>
      <c r="E16" s="85"/>
      <c r="F16" s="16"/>
      <c r="G16" s="16"/>
      <c r="H16" s="16"/>
      <c r="I16" s="16">
        <f t="shared" si="0"/>
        <v>0</v>
      </c>
    </row>
    <row r="17" spans="1:9" x14ac:dyDescent="0.25">
      <c r="A17" s="58">
        <v>41</v>
      </c>
      <c r="B17" s="58"/>
      <c r="C17" s="59">
        <v>322005</v>
      </c>
      <c r="D17" s="58" t="s">
        <v>163</v>
      </c>
      <c r="E17" s="86">
        <v>35000</v>
      </c>
      <c r="F17" s="51"/>
      <c r="G17" s="51"/>
      <c r="H17" s="51"/>
      <c r="I17" s="51">
        <f>SUM(E17:H17)</f>
        <v>35000</v>
      </c>
    </row>
    <row r="18" spans="1:9" x14ac:dyDescent="0.25">
      <c r="A18" s="58">
        <v>41</v>
      </c>
      <c r="B18" s="58"/>
      <c r="C18" s="59">
        <v>322005</v>
      </c>
      <c r="D18" s="58" t="s">
        <v>152</v>
      </c>
      <c r="E18" s="86"/>
      <c r="F18" s="51"/>
      <c r="G18" s="51"/>
      <c r="H18" s="51"/>
      <c r="I18" s="51">
        <f t="shared" ref="I18:I20" si="1">SUM(E18:H18)</f>
        <v>0</v>
      </c>
    </row>
    <row r="19" spans="1:9" x14ac:dyDescent="0.25">
      <c r="A19" s="58">
        <v>41</v>
      </c>
      <c r="B19" s="58"/>
      <c r="C19" s="59">
        <v>322005</v>
      </c>
      <c r="D19" s="58" t="s">
        <v>153</v>
      </c>
      <c r="E19" s="86"/>
      <c r="F19" s="51"/>
      <c r="G19" s="51"/>
      <c r="H19" s="51"/>
      <c r="I19" s="51">
        <f t="shared" si="1"/>
        <v>0</v>
      </c>
    </row>
    <row r="20" spans="1:9" x14ac:dyDescent="0.25">
      <c r="A20" s="58">
        <v>41</v>
      </c>
      <c r="B20" s="58"/>
      <c r="C20" s="59">
        <v>322005</v>
      </c>
      <c r="D20" s="58" t="s">
        <v>158</v>
      </c>
      <c r="E20" s="86"/>
      <c r="F20" s="51"/>
      <c r="G20" s="51"/>
      <c r="H20" s="51"/>
      <c r="I20" s="51">
        <f t="shared" si="1"/>
        <v>0</v>
      </c>
    </row>
    <row r="21" spans="1:9" x14ac:dyDescent="0.25">
      <c r="A21" s="58">
        <v>41</v>
      </c>
      <c r="B21" s="58"/>
      <c r="C21" s="59">
        <v>322005</v>
      </c>
      <c r="D21" s="58" t="s">
        <v>162</v>
      </c>
      <c r="E21" s="86">
        <v>30000</v>
      </c>
      <c r="F21" s="51"/>
      <c r="G21" s="51"/>
      <c r="H21" s="51"/>
      <c r="I21" s="51">
        <f>SUM(E21:H21)</f>
        <v>30000</v>
      </c>
    </row>
    <row r="22" spans="1:9" x14ac:dyDescent="0.25">
      <c r="A22" s="17">
        <v>41</v>
      </c>
      <c r="B22" s="58"/>
      <c r="C22" s="18">
        <v>453</v>
      </c>
      <c r="D22" s="25" t="s">
        <v>102</v>
      </c>
      <c r="E22" s="87">
        <v>0</v>
      </c>
      <c r="F22" s="84">
        <v>25427.39</v>
      </c>
      <c r="G22" s="84"/>
      <c r="H22" s="84"/>
      <c r="I22" s="84">
        <f>SUM(E22:H22)</f>
        <v>25427.39</v>
      </c>
    </row>
    <row r="23" spans="1:9" x14ac:dyDescent="0.25">
      <c r="A23" s="19" t="s">
        <v>49</v>
      </c>
      <c r="B23" s="56"/>
      <c r="C23" s="20"/>
      <c r="D23" s="21" t="s">
        <v>81</v>
      </c>
      <c r="E23" s="89">
        <f>SUM(E8:E22)</f>
        <v>510177.92499999999</v>
      </c>
      <c r="F23" s="89">
        <f>SUM(F8:F22)</f>
        <v>25427.39</v>
      </c>
      <c r="G23" s="89">
        <f>SUM(G8:G22)</f>
        <v>0</v>
      </c>
      <c r="H23" s="89">
        <f>SUM(H8:H22)</f>
        <v>14268</v>
      </c>
      <c r="I23" s="22">
        <f>SUM(I8:I22)</f>
        <v>549873.31500000006</v>
      </c>
    </row>
    <row r="24" spans="1:9" x14ac:dyDescent="0.25">
      <c r="A24" s="11"/>
      <c r="B24" s="11" t="s">
        <v>3</v>
      </c>
      <c r="C24" s="12"/>
      <c r="D24" s="12" t="s">
        <v>82</v>
      </c>
      <c r="E24" s="12"/>
      <c r="F24" s="12"/>
      <c r="G24" s="12"/>
      <c r="H24" s="12"/>
      <c r="I24" s="12"/>
    </row>
    <row r="25" spans="1:9" x14ac:dyDescent="0.25">
      <c r="A25" s="58">
        <v>71</v>
      </c>
      <c r="B25" s="58"/>
      <c r="C25" s="60" t="s">
        <v>118</v>
      </c>
      <c r="D25" s="14" t="s">
        <v>84</v>
      </c>
      <c r="E25" s="85">
        <v>0</v>
      </c>
      <c r="F25" s="16"/>
      <c r="G25" s="16"/>
      <c r="H25" s="16"/>
      <c r="I25" s="16">
        <f t="shared" ref="I25:I26" si="2">SUM(E25:H25)</f>
        <v>0</v>
      </c>
    </row>
    <row r="26" spans="1:9" x14ac:dyDescent="0.25">
      <c r="A26" s="58">
        <v>71</v>
      </c>
      <c r="B26" s="58"/>
      <c r="C26" s="60" t="s">
        <v>119</v>
      </c>
      <c r="D26" s="14" t="s">
        <v>83</v>
      </c>
      <c r="E26" s="85">
        <v>36000</v>
      </c>
      <c r="F26" s="16"/>
      <c r="G26" s="16"/>
      <c r="H26" s="16"/>
      <c r="I26" s="16">
        <f t="shared" si="2"/>
        <v>36000</v>
      </c>
    </row>
    <row r="27" spans="1:9" x14ac:dyDescent="0.25">
      <c r="A27" s="19" t="s">
        <v>49</v>
      </c>
      <c r="B27" s="56"/>
      <c r="C27" s="20"/>
      <c r="D27" s="21" t="s">
        <v>82</v>
      </c>
      <c r="E27" s="23">
        <f>SUM(E25:E26)</f>
        <v>36000</v>
      </c>
      <c r="F27" s="23">
        <f t="shared" ref="F27:I27" si="3">SUM(F25:F26)</f>
        <v>0</v>
      </c>
      <c r="G27" s="23">
        <f t="shared" si="3"/>
        <v>0</v>
      </c>
      <c r="H27" s="23">
        <f t="shared" ref="H27" si="4">SUM(H25:H26)</f>
        <v>0</v>
      </c>
      <c r="I27" s="23">
        <f t="shared" si="3"/>
        <v>36000</v>
      </c>
    </row>
    <row r="28" spans="1:9" x14ac:dyDescent="0.25">
      <c r="A28" s="105" t="s">
        <v>59</v>
      </c>
      <c r="B28" s="106"/>
      <c r="C28" s="106"/>
      <c r="D28" s="107"/>
      <c r="E28" s="24">
        <f>E27+E23</f>
        <v>546177.92500000005</v>
      </c>
      <c r="F28" s="24">
        <f>F27+F23</f>
        <v>25427.39</v>
      </c>
      <c r="G28" s="24">
        <f>G27+G23</f>
        <v>0</v>
      </c>
      <c r="H28" s="24">
        <f>H27+H23</f>
        <v>14268</v>
      </c>
      <c r="I28" s="24">
        <f t="shared" ref="I28" si="5">I27+I23</f>
        <v>585873.31500000006</v>
      </c>
    </row>
    <row r="29" spans="1:9" x14ac:dyDescent="0.25">
      <c r="A29" s="111" t="s">
        <v>62</v>
      </c>
      <c r="B29" s="112"/>
      <c r="C29" s="112"/>
      <c r="D29" s="113"/>
      <c r="E29" s="10"/>
      <c r="F29" s="10"/>
      <c r="G29" s="10"/>
      <c r="H29" s="10"/>
      <c r="I29" s="10"/>
    </row>
    <row r="30" spans="1:9" x14ac:dyDescent="0.25">
      <c r="A30" s="11"/>
      <c r="B30" s="11" t="s">
        <v>3</v>
      </c>
      <c r="C30" s="12"/>
      <c r="D30" s="12" t="s">
        <v>85</v>
      </c>
      <c r="E30" s="12"/>
      <c r="F30" s="12"/>
      <c r="G30" s="12"/>
      <c r="H30" s="12"/>
      <c r="I30" s="12"/>
    </row>
    <row r="31" spans="1:9" x14ac:dyDescent="0.25">
      <c r="A31" s="60" t="s">
        <v>120</v>
      </c>
      <c r="B31" s="58"/>
      <c r="C31" s="58">
        <v>322005</v>
      </c>
      <c r="D31" s="14" t="s">
        <v>86</v>
      </c>
      <c r="E31" s="86">
        <f>E197-E195</f>
        <v>137818.07500000001</v>
      </c>
      <c r="F31" s="51"/>
      <c r="G31" s="51"/>
      <c r="H31" s="51">
        <v>-14268</v>
      </c>
      <c r="I31" s="51">
        <f>SUM(E31:H31)</f>
        <v>123550.07500000001</v>
      </c>
    </row>
    <row r="32" spans="1:9" x14ac:dyDescent="0.25">
      <c r="A32" s="60">
        <v>41</v>
      </c>
      <c r="B32" s="58"/>
      <c r="C32" s="58">
        <v>322005</v>
      </c>
      <c r="D32" s="14" t="s">
        <v>166</v>
      </c>
      <c r="E32" s="86">
        <f>8000+2000</f>
        <v>10000</v>
      </c>
      <c r="F32" s="51"/>
      <c r="G32" s="51"/>
      <c r="H32" s="51"/>
      <c r="I32" s="51">
        <f>SUM(E32:H32)</f>
        <v>10000</v>
      </c>
    </row>
    <row r="33" spans="1:9" x14ac:dyDescent="0.25">
      <c r="A33" s="60">
        <v>41</v>
      </c>
      <c r="B33" s="58"/>
      <c r="C33" s="58">
        <v>312007</v>
      </c>
      <c r="D33" s="58" t="s">
        <v>122</v>
      </c>
      <c r="E33" s="88"/>
      <c r="F33" s="27"/>
      <c r="G33" s="27"/>
      <c r="H33" s="27"/>
      <c r="I33" s="16">
        <f t="shared" ref="I33" si="6">SUM(E33:H33)</f>
        <v>0</v>
      </c>
    </row>
    <row r="34" spans="1:9" x14ac:dyDescent="0.25">
      <c r="A34" s="58">
        <v>41</v>
      </c>
      <c r="B34" s="58"/>
      <c r="C34" s="58">
        <v>453</v>
      </c>
      <c r="D34" s="25" t="s">
        <v>102</v>
      </c>
      <c r="E34" s="87">
        <v>0</v>
      </c>
      <c r="F34" s="84">
        <v>629.15</v>
      </c>
      <c r="G34" s="84"/>
      <c r="H34" s="84"/>
      <c r="I34" s="84">
        <f>SUM(E34:H34)</f>
        <v>629.15</v>
      </c>
    </row>
    <row r="35" spans="1:9" x14ac:dyDescent="0.25">
      <c r="A35" s="19" t="s">
        <v>49</v>
      </c>
      <c r="B35" s="56"/>
      <c r="C35" s="20"/>
      <c r="D35" s="21" t="s">
        <v>81</v>
      </c>
      <c r="E35" s="22">
        <f>SUM(E31:E34)</f>
        <v>147818.07500000001</v>
      </c>
      <c r="F35" s="22">
        <f t="shared" ref="F35:H35" si="7">SUM(F31:F34)</f>
        <v>629.15</v>
      </c>
      <c r="G35" s="22">
        <f t="shared" si="7"/>
        <v>0</v>
      </c>
      <c r="H35" s="22">
        <f t="shared" si="7"/>
        <v>-14268</v>
      </c>
      <c r="I35" s="22">
        <f>SUM(I31:I34)</f>
        <v>134179.22500000001</v>
      </c>
    </row>
    <row r="36" spans="1:9" x14ac:dyDescent="0.25">
      <c r="A36" s="11"/>
      <c r="B36" s="11" t="s">
        <v>3</v>
      </c>
      <c r="C36" s="12"/>
      <c r="D36" s="12" t="s">
        <v>82</v>
      </c>
      <c r="E36" s="12"/>
      <c r="F36" s="12"/>
      <c r="G36" s="12"/>
      <c r="H36" s="12"/>
      <c r="I36" s="12"/>
    </row>
    <row r="37" spans="1:9" s="26" customFormat="1" ht="12.75" x14ac:dyDescent="0.2">
      <c r="A37" s="61" t="s">
        <v>123</v>
      </c>
      <c r="B37" s="62"/>
      <c r="C37" s="63">
        <v>453</v>
      </c>
      <c r="D37" s="25" t="s">
        <v>102</v>
      </c>
      <c r="E37" s="87"/>
      <c r="F37" s="84">
        <v>24889.01</v>
      </c>
      <c r="G37" s="84"/>
      <c r="H37" s="84"/>
      <c r="I37" s="84">
        <f>SUM(E37:H37)</f>
        <v>24889.01</v>
      </c>
    </row>
    <row r="38" spans="1:9" s="26" customFormat="1" ht="12.75" x14ac:dyDescent="0.2">
      <c r="A38" s="62">
        <v>71</v>
      </c>
      <c r="B38" s="62"/>
      <c r="C38" s="63">
        <v>223001</v>
      </c>
      <c r="D38" s="25" t="s">
        <v>74</v>
      </c>
      <c r="E38" s="85">
        <v>2500</v>
      </c>
      <c r="F38" s="16"/>
      <c r="G38" s="16">
        <v>500</v>
      </c>
      <c r="H38" s="16"/>
      <c r="I38" s="16">
        <f t="shared" ref="I38:I46" si="8">SUM(E38:H38)</f>
        <v>3000</v>
      </c>
    </row>
    <row r="39" spans="1:9" x14ac:dyDescent="0.25">
      <c r="A39" s="62">
        <v>71</v>
      </c>
      <c r="B39" s="64"/>
      <c r="C39" s="63">
        <v>223001</v>
      </c>
      <c r="D39" s="15" t="s">
        <v>99</v>
      </c>
      <c r="E39" s="85">
        <v>120</v>
      </c>
      <c r="F39" s="16"/>
      <c r="G39" s="16">
        <v>13230</v>
      </c>
      <c r="H39" s="16"/>
      <c r="I39" s="16">
        <f t="shared" si="8"/>
        <v>13350</v>
      </c>
    </row>
    <row r="40" spans="1:9" s="4" customFormat="1" x14ac:dyDescent="0.25">
      <c r="A40" s="62">
        <v>71</v>
      </c>
      <c r="B40" s="62"/>
      <c r="C40" s="63">
        <v>223001</v>
      </c>
      <c r="D40" s="29" t="s">
        <v>63</v>
      </c>
      <c r="E40" s="85">
        <v>1800</v>
      </c>
      <c r="F40" s="27"/>
      <c r="G40" s="27"/>
      <c r="H40" s="27"/>
      <c r="I40" s="16">
        <f t="shared" si="8"/>
        <v>1800</v>
      </c>
    </row>
    <row r="41" spans="1:9" s="4" customFormat="1" x14ac:dyDescent="0.25">
      <c r="A41" s="62">
        <v>71</v>
      </c>
      <c r="B41" s="62"/>
      <c r="C41" s="63">
        <v>223001</v>
      </c>
      <c r="D41" s="29" t="s">
        <v>87</v>
      </c>
      <c r="E41" s="85">
        <v>54360</v>
      </c>
      <c r="F41" s="27"/>
      <c r="G41" s="27"/>
      <c r="H41" s="27"/>
      <c r="I41" s="16">
        <f t="shared" si="8"/>
        <v>54360</v>
      </c>
    </row>
    <row r="42" spans="1:9" s="4" customFormat="1" x14ac:dyDescent="0.25">
      <c r="A42" s="62">
        <v>71</v>
      </c>
      <c r="B42" s="62"/>
      <c r="C42" s="63">
        <v>223001</v>
      </c>
      <c r="D42" s="29" t="s">
        <v>88</v>
      </c>
      <c r="E42" s="85">
        <v>3600</v>
      </c>
      <c r="F42" s="27"/>
      <c r="G42" s="27"/>
      <c r="H42" s="27"/>
      <c r="I42" s="16">
        <f t="shared" si="8"/>
        <v>3600</v>
      </c>
    </row>
    <row r="43" spans="1:9" s="4" customFormat="1" x14ac:dyDescent="0.25">
      <c r="A43" s="62">
        <v>71</v>
      </c>
      <c r="B43" s="62"/>
      <c r="C43" s="63">
        <v>223001</v>
      </c>
      <c r="D43" s="29" t="s">
        <v>89</v>
      </c>
      <c r="E43" s="85">
        <v>240</v>
      </c>
      <c r="F43" s="27"/>
      <c r="G43" s="27"/>
      <c r="H43" s="27"/>
      <c r="I43" s="16">
        <f t="shared" si="8"/>
        <v>240</v>
      </c>
    </row>
    <row r="44" spans="1:9" s="4" customFormat="1" x14ac:dyDescent="0.25">
      <c r="A44" s="62">
        <v>71</v>
      </c>
      <c r="B44" s="62"/>
      <c r="C44" s="63">
        <v>223001</v>
      </c>
      <c r="D44" s="29" t="s">
        <v>90</v>
      </c>
      <c r="E44" s="85">
        <v>60</v>
      </c>
      <c r="F44" s="27"/>
      <c r="G44" s="27"/>
      <c r="H44" s="27"/>
      <c r="I44" s="16">
        <f t="shared" si="8"/>
        <v>60</v>
      </c>
    </row>
    <row r="45" spans="1:9" s="30" customFormat="1" ht="12.75" x14ac:dyDescent="0.2">
      <c r="A45" s="62">
        <v>71</v>
      </c>
      <c r="B45" s="58"/>
      <c r="C45" s="63">
        <v>223001</v>
      </c>
      <c r="D45" s="14" t="s">
        <v>91</v>
      </c>
      <c r="E45" s="85">
        <v>100000</v>
      </c>
      <c r="F45" s="50"/>
      <c r="G45" s="50"/>
      <c r="H45" s="50"/>
      <c r="I45" s="16">
        <f t="shared" si="8"/>
        <v>100000</v>
      </c>
    </row>
    <row r="46" spans="1:9" x14ac:dyDescent="0.25">
      <c r="A46" s="62">
        <v>71</v>
      </c>
      <c r="B46" s="58"/>
      <c r="C46" s="60">
        <v>292</v>
      </c>
      <c r="D46" s="14" t="s">
        <v>92</v>
      </c>
      <c r="E46" s="85">
        <v>2500</v>
      </c>
      <c r="F46" s="85"/>
      <c r="G46" s="85"/>
      <c r="H46" s="85"/>
      <c r="I46" s="16">
        <f t="shared" si="8"/>
        <v>2500</v>
      </c>
    </row>
    <row r="47" spans="1:9" x14ac:dyDescent="0.25">
      <c r="A47" s="19" t="s">
        <v>49</v>
      </c>
      <c r="B47" s="56"/>
      <c r="C47" s="20"/>
      <c r="D47" s="21" t="s">
        <v>81</v>
      </c>
      <c r="E47" s="89">
        <f>SUM(E37:E46)</f>
        <v>165180</v>
      </c>
      <c r="F47" s="89">
        <f t="shared" ref="F47:I47" si="9">SUM(F37:F46)</f>
        <v>24889.01</v>
      </c>
      <c r="G47" s="89">
        <f t="shared" si="9"/>
        <v>13730</v>
      </c>
      <c r="H47" s="89">
        <f t="shared" ref="H47" si="10">SUM(H37:H46)</f>
        <v>0</v>
      </c>
      <c r="I47" s="89">
        <f t="shared" si="9"/>
        <v>203799.01</v>
      </c>
    </row>
    <row r="48" spans="1:9" ht="15.75" thickBot="1" x14ac:dyDescent="0.3">
      <c r="A48" s="105" t="s">
        <v>78</v>
      </c>
      <c r="B48" s="106"/>
      <c r="C48" s="106"/>
      <c r="D48" s="107"/>
      <c r="E48" s="90">
        <f t="shared" ref="E48:F48" si="11">SUM(E47,E35)</f>
        <v>312998.07500000001</v>
      </c>
      <c r="F48" s="24">
        <f t="shared" si="11"/>
        <v>25518.16</v>
      </c>
      <c r="G48" s="24">
        <f t="shared" ref="G48:H48" si="12">SUM(G47,G35)</f>
        <v>13730</v>
      </c>
      <c r="H48" s="24">
        <f t="shared" si="12"/>
        <v>-14268</v>
      </c>
      <c r="I48" s="24">
        <f>SUM(I47,I35)</f>
        <v>337978.23499999999</v>
      </c>
    </row>
    <row r="49" spans="1:9" ht="16.5" thickBot="1" x14ac:dyDescent="0.3">
      <c r="A49" s="31"/>
      <c r="B49" s="119" t="s">
        <v>4</v>
      </c>
      <c r="C49" s="120"/>
      <c r="D49" s="120"/>
      <c r="E49" s="91">
        <f>E48+E28</f>
        <v>859176</v>
      </c>
      <c r="F49" s="32">
        <f t="shared" ref="F49:H49" si="13">F48+F28</f>
        <v>50945.55</v>
      </c>
      <c r="G49" s="32">
        <f t="shared" si="13"/>
        <v>13730</v>
      </c>
      <c r="H49" s="32">
        <f t="shared" si="13"/>
        <v>0</v>
      </c>
      <c r="I49" s="32">
        <f>I48+I28</f>
        <v>923851.55</v>
      </c>
    </row>
    <row r="50" spans="1:9" x14ac:dyDescent="0.2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8.25" customHeight="1" x14ac:dyDescent="0.2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5.75" thickBot="1" x14ac:dyDescent="0.3">
      <c r="A52" s="6"/>
      <c r="B52" s="6" t="s">
        <v>5</v>
      </c>
      <c r="C52" s="4"/>
      <c r="D52" s="5"/>
      <c r="E52" s="114" t="s">
        <v>15</v>
      </c>
      <c r="F52" s="115"/>
      <c r="G52" s="115"/>
      <c r="H52" s="115"/>
      <c r="I52" s="116"/>
    </row>
    <row r="53" spans="1:9" ht="27" thickBot="1" x14ac:dyDescent="0.3">
      <c r="A53" s="7" t="s">
        <v>18</v>
      </c>
      <c r="B53" s="7" t="s">
        <v>121</v>
      </c>
      <c r="C53" s="8" t="s">
        <v>20</v>
      </c>
      <c r="D53" s="34" t="s">
        <v>2</v>
      </c>
      <c r="E53" s="9" t="s">
        <v>167</v>
      </c>
      <c r="F53" s="99" t="s">
        <v>169</v>
      </c>
      <c r="G53" s="99" t="s">
        <v>170</v>
      </c>
      <c r="H53" s="103" t="s">
        <v>172</v>
      </c>
      <c r="I53" s="100" t="s">
        <v>101</v>
      </c>
    </row>
    <row r="54" spans="1:9" x14ac:dyDescent="0.25">
      <c r="A54" s="111" t="s">
        <v>53</v>
      </c>
      <c r="B54" s="112"/>
      <c r="C54" s="112"/>
      <c r="D54" s="113"/>
      <c r="E54" s="10"/>
      <c r="F54" s="10"/>
      <c r="G54" s="10"/>
      <c r="H54" s="10"/>
      <c r="I54" s="10"/>
    </row>
    <row r="55" spans="1:9" x14ac:dyDescent="0.25">
      <c r="A55" s="65" t="s">
        <v>19</v>
      </c>
      <c r="B55" s="65" t="s">
        <v>124</v>
      </c>
      <c r="C55" s="60" t="s">
        <v>125</v>
      </c>
      <c r="D55" s="14" t="s">
        <v>21</v>
      </c>
      <c r="E55" s="88">
        <f>59600+10650-5000</f>
        <v>65250</v>
      </c>
      <c r="F55" s="27"/>
      <c r="G55" s="27"/>
      <c r="H55" s="27">
        <v>6150</v>
      </c>
      <c r="I55" s="16">
        <f t="shared" ref="I55:I70" si="14">SUM(E55:H55)</f>
        <v>71400</v>
      </c>
    </row>
    <row r="56" spans="1:9" x14ac:dyDescent="0.25">
      <c r="A56" s="65" t="s">
        <v>19</v>
      </c>
      <c r="B56" s="65" t="s">
        <v>124</v>
      </c>
      <c r="C56" s="58">
        <v>620</v>
      </c>
      <c r="D56" s="14" t="s">
        <v>23</v>
      </c>
      <c r="E56" s="88">
        <f>(0.3495*E55)+(0.02*E55)</f>
        <v>24109.875</v>
      </c>
      <c r="F56" s="27"/>
      <c r="G56" s="27"/>
      <c r="H56" s="27">
        <v>2150</v>
      </c>
      <c r="I56" s="16">
        <f t="shared" si="14"/>
        <v>26259.875</v>
      </c>
    </row>
    <row r="57" spans="1:9" x14ac:dyDescent="0.25">
      <c r="A57" s="65" t="s">
        <v>19</v>
      </c>
      <c r="B57" s="65" t="s">
        <v>124</v>
      </c>
      <c r="C57" s="58">
        <v>640</v>
      </c>
      <c r="D57" s="14" t="s">
        <v>109</v>
      </c>
      <c r="E57" s="88">
        <v>600</v>
      </c>
      <c r="F57" s="27"/>
      <c r="G57" s="27"/>
      <c r="H57" s="27"/>
      <c r="I57" s="16">
        <f t="shared" si="14"/>
        <v>600</v>
      </c>
    </row>
    <row r="58" spans="1:9" x14ac:dyDescent="0.25">
      <c r="A58" s="65" t="s">
        <v>19</v>
      </c>
      <c r="B58" s="65" t="s">
        <v>124</v>
      </c>
      <c r="C58" s="60" t="s">
        <v>126</v>
      </c>
      <c r="D58" s="14" t="s">
        <v>10</v>
      </c>
      <c r="E58" s="88">
        <v>1000</v>
      </c>
      <c r="F58" s="27"/>
      <c r="G58" s="27"/>
      <c r="H58" s="27"/>
      <c r="I58" s="16">
        <f t="shared" si="14"/>
        <v>1000</v>
      </c>
    </row>
    <row r="59" spans="1:9" x14ac:dyDescent="0.25">
      <c r="A59" s="65" t="s">
        <v>19</v>
      </c>
      <c r="B59" s="65" t="s">
        <v>124</v>
      </c>
      <c r="C59" s="60" t="s">
        <v>127</v>
      </c>
      <c r="D59" s="14" t="s">
        <v>26</v>
      </c>
      <c r="E59" s="88">
        <v>75</v>
      </c>
      <c r="F59" s="27"/>
      <c r="G59" s="27"/>
      <c r="H59" s="27"/>
      <c r="I59" s="16">
        <f t="shared" si="14"/>
        <v>75</v>
      </c>
    </row>
    <row r="60" spans="1:9" x14ac:dyDescent="0.25">
      <c r="A60" s="65" t="s">
        <v>19</v>
      </c>
      <c r="B60" s="65" t="s">
        <v>124</v>
      </c>
      <c r="C60" s="60" t="s">
        <v>128</v>
      </c>
      <c r="D60" s="14" t="s">
        <v>24</v>
      </c>
      <c r="E60" s="88">
        <v>800</v>
      </c>
      <c r="F60" s="27"/>
      <c r="G60" s="27"/>
      <c r="H60" s="27"/>
      <c r="I60" s="16">
        <f t="shared" si="14"/>
        <v>800</v>
      </c>
    </row>
    <row r="61" spans="1:9" x14ac:dyDescent="0.25">
      <c r="A61" s="65"/>
      <c r="B61" s="65"/>
      <c r="C61" s="58"/>
      <c r="D61" s="14" t="s">
        <v>28</v>
      </c>
      <c r="E61" s="88"/>
      <c r="F61" s="27"/>
      <c r="G61" s="27"/>
      <c r="H61" s="27"/>
      <c r="I61" s="16">
        <f t="shared" si="14"/>
        <v>0</v>
      </c>
    </row>
    <row r="62" spans="1:9" x14ac:dyDescent="0.25">
      <c r="A62" s="65" t="s">
        <v>19</v>
      </c>
      <c r="B62" s="65" t="s">
        <v>124</v>
      </c>
      <c r="C62" s="60" t="s">
        <v>129</v>
      </c>
      <c r="D62" s="14" t="s">
        <v>95</v>
      </c>
      <c r="E62" s="88">
        <v>2500</v>
      </c>
      <c r="F62" s="27"/>
      <c r="G62" s="27"/>
      <c r="H62" s="27"/>
      <c r="I62" s="16">
        <f t="shared" si="14"/>
        <v>2500</v>
      </c>
    </row>
    <row r="63" spans="1:9" x14ac:dyDescent="0.25">
      <c r="A63" s="65" t="s">
        <v>19</v>
      </c>
      <c r="B63" s="65" t="s">
        <v>124</v>
      </c>
      <c r="C63" s="58">
        <v>637014</v>
      </c>
      <c r="D63" s="14" t="s">
        <v>12</v>
      </c>
      <c r="E63" s="88">
        <v>3500</v>
      </c>
      <c r="F63" s="27"/>
      <c r="G63" s="27"/>
      <c r="H63" s="27">
        <v>300</v>
      </c>
      <c r="I63" s="16">
        <f t="shared" si="14"/>
        <v>3800</v>
      </c>
    </row>
    <row r="64" spans="1:9" x14ac:dyDescent="0.25">
      <c r="A64" s="65" t="s">
        <v>19</v>
      </c>
      <c r="B64" s="65" t="s">
        <v>124</v>
      </c>
      <c r="C64" s="58">
        <v>637016</v>
      </c>
      <c r="D64" s="14" t="s">
        <v>25</v>
      </c>
      <c r="E64" s="88">
        <f>0.011*E55</f>
        <v>717.75</v>
      </c>
      <c r="F64" s="27"/>
      <c r="G64" s="27"/>
      <c r="H64" s="27">
        <v>68</v>
      </c>
      <c r="I64" s="16">
        <f t="shared" si="14"/>
        <v>785.75</v>
      </c>
    </row>
    <row r="65" spans="1:9" x14ac:dyDescent="0.25">
      <c r="A65" s="65" t="s">
        <v>19</v>
      </c>
      <c r="B65" s="65" t="s">
        <v>124</v>
      </c>
      <c r="C65" s="58" t="s">
        <v>130</v>
      </c>
      <c r="D65" s="14" t="s">
        <v>108</v>
      </c>
      <c r="E65" s="88">
        <v>2000</v>
      </c>
      <c r="F65" s="27"/>
      <c r="G65" s="27">
        <v>100</v>
      </c>
      <c r="H65" s="27"/>
      <c r="I65" s="16">
        <f t="shared" si="14"/>
        <v>2100</v>
      </c>
    </row>
    <row r="66" spans="1:9" x14ac:dyDescent="0.25">
      <c r="A66" s="65" t="s">
        <v>19</v>
      </c>
      <c r="B66" s="65" t="s">
        <v>124</v>
      </c>
      <c r="C66" s="58">
        <v>630</v>
      </c>
      <c r="D66" s="14" t="s">
        <v>27</v>
      </c>
      <c r="E66" s="88">
        <v>4100</v>
      </c>
      <c r="F66" s="27"/>
      <c r="G66" s="27"/>
      <c r="H66" s="27"/>
      <c r="I66" s="16">
        <f t="shared" si="14"/>
        <v>4100</v>
      </c>
    </row>
    <row r="67" spans="1:9" x14ac:dyDescent="0.25">
      <c r="A67" s="36"/>
      <c r="B67" s="57"/>
      <c r="C67" s="37"/>
      <c r="D67" s="38" t="s">
        <v>6</v>
      </c>
      <c r="E67" s="92"/>
      <c r="F67" s="40"/>
      <c r="G67" s="40"/>
      <c r="H67" s="40"/>
      <c r="I67" s="40"/>
    </row>
    <row r="68" spans="1:9" x14ac:dyDescent="0.25">
      <c r="A68" s="65" t="s">
        <v>19</v>
      </c>
      <c r="B68" s="65" t="s">
        <v>131</v>
      </c>
      <c r="C68" s="58">
        <v>630</v>
      </c>
      <c r="D68" s="41" t="s">
        <v>164</v>
      </c>
      <c r="E68" s="88">
        <v>4000</v>
      </c>
      <c r="F68" s="27"/>
      <c r="G68" s="27"/>
      <c r="H68" s="27">
        <v>5600</v>
      </c>
      <c r="I68" s="16">
        <f t="shared" si="14"/>
        <v>9600</v>
      </c>
    </row>
    <row r="69" spans="1:9" x14ac:dyDescent="0.25">
      <c r="A69" s="65" t="s">
        <v>19</v>
      </c>
      <c r="B69" s="65" t="s">
        <v>131</v>
      </c>
      <c r="C69" s="58">
        <v>630</v>
      </c>
      <c r="D69" s="42" t="s">
        <v>30</v>
      </c>
      <c r="E69" s="88">
        <v>0</v>
      </c>
      <c r="F69" s="27"/>
      <c r="G69" s="27"/>
      <c r="H69" s="27"/>
      <c r="I69" s="16">
        <f t="shared" si="14"/>
        <v>0</v>
      </c>
    </row>
    <row r="70" spans="1:9" x14ac:dyDescent="0.25">
      <c r="A70" s="65" t="s">
        <v>19</v>
      </c>
      <c r="B70" s="65" t="s">
        <v>131</v>
      </c>
      <c r="C70" s="58">
        <v>630</v>
      </c>
      <c r="D70" s="42" t="s">
        <v>35</v>
      </c>
      <c r="E70" s="88">
        <v>0</v>
      </c>
      <c r="F70" s="27"/>
      <c r="G70" s="27"/>
      <c r="H70" s="27"/>
      <c r="I70" s="16">
        <f t="shared" si="14"/>
        <v>0</v>
      </c>
    </row>
    <row r="71" spans="1:9" x14ac:dyDescent="0.25">
      <c r="A71" s="56" t="s">
        <v>49</v>
      </c>
      <c r="B71" s="56"/>
      <c r="C71" s="20"/>
      <c r="D71" s="21" t="s">
        <v>22</v>
      </c>
      <c r="E71" s="89">
        <f t="shared" ref="E71:I71" si="15">SUM(E68:E70)</f>
        <v>4000</v>
      </c>
      <c r="F71" s="22">
        <f t="shared" si="15"/>
        <v>0</v>
      </c>
      <c r="G71" s="22">
        <f t="shared" si="15"/>
        <v>0</v>
      </c>
      <c r="H71" s="22">
        <f t="shared" si="15"/>
        <v>5600</v>
      </c>
      <c r="I71" s="22">
        <f t="shared" si="15"/>
        <v>9600</v>
      </c>
    </row>
    <row r="72" spans="1:9" x14ac:dyDescent="0.25">
      <c r="A72" s="36"/>
      <c r="B72" s="57"/>
      <c r="C72" s="37"/>
      <c r="D72" s="38" t="s">
        <v>7</v>
      </c>
      <c r="E72" s="92"/>
      <c r="F72" s="40"/>
      <c r="G72" s="40"/>
      <c r="H72" s="40"/>
      <c r="I72" s="40"/>
    </row>
    <row r="73" spans="1:9" s="43" customFormat="1" x14ac:dyDescent="0.25">
      <c r="A73" s="65" t="s">
        <v>19</v>
      </c>
      <c r="B73" s="65" t="s">
        <v>132</v>
      </c>
      <c r="C73" s="58">
        <v>630</v>
      </c>
      <c r="D73" s="14" t="s">
        <v>31</v>
      </c>
      <c r="E73" s="88">
        <v>0</v>
      </c>
      <c r="F73" s="27"/>
      <c r="G73" s="27"/>
      <c r="H73" s="27"/>
      <c r="I73" s="16">
        <f t="shared" ref="I73:I76" si="16">SUM(E73:H73)</f>
        <v>0</v>
      </c>
    </row>
    <row r="74" spans="1:9" x14ac:dyDescent="0.25">
      <c r="A74" s="65" t="s">
        <v>19</v>
      </c>
      <c r="B74" s="65" t="s">
        <v>132</v>
      </c>
      <c r="C74" s="58">
        <v>630</v>
      </c>
      <c r="D74" s="14" t="s">
        <v>32</v>
      </c>
      <c r="E74" s="88">
        <v>0</v>
      </c>
      <c r="F74" s="27"/>
      <c r="G74" s="27"/>
      <c r="H74" s="27"/>
      <c r="I74" s="16">
        <f t="shared" si="16"/>
        <v>0</v>
      </c>
    </row>
    <row r="75" spans="1:9" x14ac:dyDescent="0.25">
      <c r="A75" s="65" t="s">
        <v>19</v>
      </c>
      <c r="B75" s="65" t="s">
        <v>132</v>
      </c>
      <c r="C75" s="58">
        <v>630</v>
      </c>
      <c r="D75" s="14" t="s">
        <v>33</v>
      </c>
      <c r="E75" s="88">
        <v>1500</v>
      </c>
      <c r="F75" s="27"/>
      <c r="G75" s="27"/>
      <c r="H75" s="27"/>
      <c r="I75" s="16">
        <f t="shared" si="16"/>
        <v>1500</v>
      </c>
    </row>
    <row r="76" spans="1:9" x14ac:dyDescent="0.25">
      <c r="A76" s="65" t="s">
        <v>19</v>
      </c>
      <c r="B76" s="65" t="s">
        <v>132</v>
      </c>
      <c r="C76" s="58">
        <v>630</v>
      </c>
      <c r="D76" s="14" t="s">
        <v>34</v>
      </c>
      <c r="E76" s="88">
        <v>0</v>
      </c>
      <c r="F76" s="27"/>
      <c r="G76" s="27"/>
      <c r="H76" s="27"/>
      <c r="I76" s="16">
        <f t="shared" si="16"/>
        <v>0</v>
      </c>
    </row>
    <row r="77" spans="1:9" x14ac:dyDescent="0.25">
      <c r="A77" s="56" t="s">
        <v>49</v>
      </c>
      <c r="B77" s="56"/>
      <c r="C77" s="44"/>
      <c r="D77" s="21" t="s">
        <v>7</v>
      </c>
      <c r="E77" s="93">
        <f>SUM(E73:E76)</f>
        <v>1500</v>
      </c>
      <c r="F77" s="93">
        <f t="shared" ref="F77:I77" si="17">SUM(F73:F76)</f>
        <v>0</v>
      </c>
      <c r="G77" s="93">
        <f t="shared" si="17"/>
        <v>0</v>
      </c>
      <c r="H77" s="93">
        <f t="shared" si="17"/>
        <v>0</v>
      </c>
      <c r="I77" s="93">
        <f t="shared" si="17"/>
        <v>1500</v>
      </c>
    </row>
    <row r="78" spans="1:9" x14ac:dyDescent="0.25">
      <c r="A78" s="36"/>
      <c r="B78" s="57"/>
      <c r="C78" s="37"/>
      <c r="D78" s="38" t="s">
        <v>9</v>
      </c>
      <c r="E78" s="92"/>
      <c r="F78" s="40"/>
      <c r="G78" s="40"/>
      <c r="H78" s="40"/>
      <c r="I78" s="40"/>
    </row>
    <row r="79" spans="1:9" s="43" customFormat="1" x14ac:dyDescent="0.25">
      <c r="A79" s="65" t="s">
        <v>19</v>
      </c>
      <c r="B79" s="66" t="s">
        <v>124</v>
      </c>
      <c r="C79" s="58">
        <v>630</v>
      </c>
      <c r="D79" s="45" t="s">
        <v>36</v>
      </c>
      <c r="E79" s="88">
        <f>7500+9000+2000+5000+8500</f>
        <v>32000</v>
      </c>
      <c r="F79" s="27"/>
      <c r="G79" s="27"/>
      <c r="H79" s="27"/>
      <c r="I79" s="16">
        <f t="shared" ref="I79:I83" si="18">SUM(E79:H79)</f>
        <v>32000</v>
      </c>
    </row>
    <row r="80" spans="1:9" s="43" customFormat="1" x14ac:dyDescent="0.25">
      <c r="A80" s="65" t="s">
        <v>19</v>
      </c>
      <c r="B80" s="66" t="s">
        <v>124</v>
      </c>
      <c r="C80" s="58">
        <v>630</v>
      </c>
      <c r="D80" s="45" t="s">
        <v>110</v>
      </c>
      <c r="E80" s="88">
        <f>10000+1500+3000</f>
        <v>14500</v>
      </c>
      <c r="F80" s="27"/>
      <c r="G80" s="27"/>
      <c r="H80" s="27">
        <v>-1500</v>
      </c>
      <c r="I80" s="16">
        <f t="shared" si="18"/>
        <v>13000</v>
      </c>
    </row>
    <row r="81" spans="1:9" s="30" customFormat="1" ht="12.75" x14ac:dyDescent="0.2">
      <c r="A81" s="65" t="s">
        <v>19</v>
      </c>
      <c r="B81" s="66" t="s">
        <v>124</v>
      </c>
      <c r="C81" s="58">
        <v>630</v>
      </c>
      <c r="D81" s="45" t="s">
        <v>37</v>
      </c>
      <c r="E81" s="85">
        <v>7500</v>
      </c>
      <c r="F81" s="16"/>
      <c r="G81" s="16"/>
      <c r="H81" s="16">
        <v>1500</v>
      </c>
      <c r="I81" s="16">
        <f t="shared" si="18"/>
        <v>9000</v>
      </c>
    </row>
    <row r="82" spans="1:9" s="30" customFormat="1" ht="12.75" x14ac:dyDescent="0.2">
      <c r="A82" s="65" t="s">
        <v>19</v>
      </c>
      <c r="B82" s="66" t="s">
        <v>124</v>
      </c>
      <c r="C82" s="58">
        <v>630</v>
      </c>
      <c r="D82" s="45" t="s">
        <v>38</v>
      </c>
      <c r="E82" s="85">
        <v>200</v>
      </c>
      <c r="F82" s="16"/>
      <c r="G82" s="16"/>
      <c r="H82" s="16"/>
      <c r="I82" s="16">
        <f t="shared" si="18"/>
        <v>200</v>
      </c>
    </row>
    <row r="83" spans="1:9" s="30" customFormat="1" ht="12.75" x14ac:dyDescent="0.2">
      <c r="A83" s="65" t="s">
        <v>19</v>
      </c>
      <c r="B83" s="66" t="s">
        <v>124</v>
      </c>
      <c r="C83" s="58">
        <v>630</v>
      </c>
      <c r="D83" s="45" t="s">
        <v>39</v>
      </c>
      <c r="E83" s="85">
        <v>0</v>
      </c>
      <c r="F83" s="16"/>
      <c r="G83" s="16"/>
      <c r="H83" s="16"/>
      <c r="I83" s="16">
        <f t="shared" si="18"/>
        <v>0</v>
      </c>
    </row>
    <row r="84" spans="1:9" x14ac:dyDescent="0.25">
      <c r="A84" s="19" t="s">
        <v>49</v>
      </c>
      <c r="B84" s="56"/>
      <c r="C84" s="44"/>
      <c r="D84" s="21" t="s">
        <v>9</v>
      </c>
      <c r="E84" s="89">
        <f>SUM(E79:E83)</f>
        <v>54200</v>
      </c>
      <c r="F84" s="22">
        <f t="shared" ref="F84:I84" si="19">SUM(F79:F83)</f>
        <v>0</v>
      </c>
      <c r="G84" s="22">
        <f t="shared" si="19"/>
        <v>0</v>
      </c>
      <c r="H84" s="22">
        <f t="shared" si="19"/>
        <v>0</v>
      </c>
      <c r="I84" s="22">
        <f t="shared" si="19"/>
        <v>54200</v>
      </c>
    </row>
    <row r="85" spans="1:9" x14ac:dyDescent="0.25">
      <c r="A85" s="36"/>
      <c r="B85" s="57"/>
      <c r="C85" s="37"/>
      <c r="D85" s="38" t="s">
        <v>11</v>
      </c>
      <c r="E85" s="92"/>
      <c r="F85" s="40"/>
      <c r="G85" s="40"/>
      <c r="H85" s="40"/>
      <c r="I85" s="40"/>
    </row>
    <row r="86" spans="1:9" s="43" customFormat="1" x14ac:dyDescent="0.25">
      <c r="A86" s="65" t="s">
        <v>19</v>
      </c>
      <c r="B86" s="66" t="s">
        <v>133</v>
      </c>
      <c r="C86" s="58">
        <v>717</v>
      </c>
      <c r="D86" s="14" t="s">
        <v>40</v>
      </c>
      <c r="E86" s="86">
        <v>30000</v>
      </c>
      <c r="F86" s="51"/>
      <c r="G86" s="51"/>
      <c r="H86" s="51"/>
      <c r="I86" s="51">
        <f>SUM(E86:H86)</f>
        <v>30000</v>
      </c>
    </row>
    <row r="87" spans="1:9" s="43" customFormat="1" x14ac:dyDescent="0.25">
      <c r="A87" s="65" t="s">
        <v>19</v>
      </c>
      <c r="B87" s="65" t="s">
        <v>133</v>
      </c>
      <c r="C87" s="58">
        <v>630</v>
      </c>
      <c r="D87" s="14" t="s">
        <v>41</v>
      </c>
      <c r="E87" s="88">
        <v>5100</v>
      </c>
      <c r="F87" s="27"/>
      <c r="G87" s="27"/>
      <c r="H87" s="27"/>
      <c r="I87" s="16">
        <f t="shared" ref="I87" si="20">SUM(E87:H87)</f>
        <v>5100</v>
      </c>
    </row>
    <row r="88" spans="1:9" s="43" customFormat="1" x14ac:dyDescent="0.25">
      <c r="A88" s="65" t="s">
        <v>19</v>
      </c>
      <c r="B88" s="66" t="s">
        <v>134</v>
      </c>
      <c r="C88" s="58">
        <v>717</v>
      </c>
      <c r="D88" s="14" t="s">
        <v>42</v>
      </c>
      <c r="E88" s="86">
        <v>0</v>
      </c>
      <c r="F88" s="51"/>
      <c r="G88" s="51"/>
      <c r="H88" s="51"/>
      <c r="I88" s="51">
        <f>SUM(E88:H88)</f>
        <v>0</v>
      </c>
    </row>
    <row r="89" spans="1:9" s="43" customFormat="1" x14ac:dyDescent="0.25">
      <c r="A89" s="65" t="s">
        <v>19</v>
      </c>
      <c r="B89" s="65" t="s">
        <v>134</v>
      </c>
      <c r="C89" s="58">
        <v>630</v>
      </c>
      <c r="D89" s="14" t="s">
        <v>43</v>
      </c>
      <c r="E89" s="88">
        <v>500</v>
      </c>
      <c r="F89" s="27"/>
      <c r="G89" s="27"/>
      <c r="H89" s="27"/>
      <c r="I89" s="16">
        <f>SUM(E89:H89)</f>
        <v>500</v>
      </c>
    </row>
    <row r="90" spans="1:9" s="43" customFormat="1" x14ac:dyDescent="0.25">
      <c r="A90" s="65" t="s">
        <v>19</v>
      </c>
      <c r="B90" s="66" t="s">
        <v>135</v>
      </c>
      <c r="C90" s="58">
        <v>630</v>
      </c>
      <c r="D90" s="14" t="s">
        <v>44</v>
      </c>
      <c r="E90" s="88">
        <v>1000</v>
      </c>
      <c r="F90" s="27"/>
      <c r="G90" s="27"/>
      <c r="H90" s="27"/>
      <c r="I90" s="16">
        <f t="shared" ref="I90" si="21">SUM(E90:H90)</f>
        <v>1000</v>
      </c>
    </row>
    <row r="91" spans="1:9" x14ac:dyDescent="0.25">
      <c r="A91" s="56" t="s">
        <v>49</v>
      </c>
      <c r="B91" s="56"/>
      <c r="C91" s="44"/>
      <c r="D91" s="21" t="s">
        <v>11</v>
      </c>
      <c r="E91" s="89">
        <f>SUM(E86:E90)</f>
        <v>36600</v>
      </c>
      <c r="F91" s="22">
        <f t="shared" ref="F91:I91" si="22">SUM(F86:F90)</f>
        <v>0</v>
      </c>
      <c r="G91" s="22">
        <f t="shared" si="22"/>
        <v>0</v>
      </c>
      <c r="H91" s="22">
        <f t="shared" si="22"/>
        <v>0</v>
      </c>
      <c r="I91" s="22">
        <f t="shared" si="22"/>
        <v>36600</v>
      </c>
    </row>
    <row r="92" spans="1:9" x14ac:dyDescent="0.25">
      <c r="A92" s="36"/>
      <c r="B92" s="57"/>
      <c r="C92" s="37"/>
      <c r="D92" s="38" t="s">
        <v>13</v>
      </c>
      <c r="E92" s="92"/>
      <c r="F92" s="40"/>
      <c r="G92" s="40"/>
      <c r="H92" s="40"/>
      <c r="I92" s="40"/>
    </row>
    <row r="93" spans="1:9" s="43" customFormat="1" x14ac:dyDescent="0.25">
      <c r="A93" s="65" t="s">
        <v>19</v>
      </c>
      <c r="B93" s="66" t="s">
        <v>135</v>
      </c>
      <c r="C93" s="58">
        <v>630</v>
      </c>
      <c r="D93" s="14" t="s">
        <v>45</v>
      </c>
      <c r="E93" s="88">
        <v>200</v>
      </c>
      <c r="F93" s="27"/>
      <c r="G93" s="27"/>
      <c r="H93" s="27"/>
      <c r="I93" s="16">
        <f>SUM(E93:H93)</f>
        <v>200</v>
      </c>
    </row>
    <row r="94" spans="1:9" s="43" customFormat="1" x14ac:dyDescent="0.25">
      <c r="A94" s="65" t="s">
        <v>19</v>
      </c>
      <c r="B94" s="65" t="s">
        <v>124</v>
      </c>
      <c r="C94" s="58">
        <v>630</v>
      </c>
      <c r="D94" s="14" t="s">
        <v>156</v>
      </c>
      <c r="E94" s="88">
        <v>10500</v>
      </c>
      <c r="F94" s="27"/>
      <c r="G94" s="27">
        <v>-100</v>
      </c>
      <c r="H94" s="27"/>
      <c r="I94" s="16">
        <f t="shared" ref="I94:I98" si="23">SUM(E94:H94)</f>
        <v>10400</v>
      </c>
    </row>
    <row r="95" spans="1:9" s="43" customFormat="1" x14ac:dyDescent="0.25">
      <c r="A95" s="65" t="s">
        <v>19</v>
      </c>
      <c r="B95" s="66"/>
      <c r="C95" s="58"/>
      <c r="D95" s="14" t="s">
        <v>46</v>
      </c>
      <c r="E95" s="88">
        <v>0</v>
      </c>
      <c r="F95" s="27"/>
      <c r="G95" s="27"/>
      <c r="H95" s="27"/>
      <c r="I95" s="16">
        <f t="shared" si="23"/>
        <v>0</v>
      </c>
    </row>
    <row r="96" spans="1:9" s="43" customFormat="1" x14ac:dyDescent="0.25">
      <c r="A96" s="65" t="s">
        <v>19</v>
      </c>
      <c r="B96" s="65"/>
      <c r="C96" s="58"/>
      <c r="D96" s="14" t="s">
        <v>47</v>
      </c>
      <c r="E96" s="88">
        <v>0</v>
      </c>
      <c r="F96" s="27"/>
      <c r="G96" s="27"/>
      <c r="H96" s="27"/>
      <c r="I96" s="16">
        <f t="shared" si="23"/>
        <v>0</v>
      </c>
    </row>
    <row r="97" spans="1:9" s="43" customFormat="1" x14ac:dyDescent="0.25">
      <c r="A97" s="65" t="s">
        <v>19</v>
      </c>
      <c r="B97" s="66"/>
      <c r="C97" s="58"/>
      <c r="D97" s="14" t="s">
        <v>48</v>
      </c>
      <c r="E97" s="88">
        <v>0</v>
      </c>
      <c r="F97" s="27"/>
      <c r="G97" s="27"/>
      <c r="H97" s="27"/>
      <c r="I97" s="16">
        <f t="shared" si="23"/>
        <v>0</v>
      </c>
    </row>
    <row r="98" spans="1:9" s="43" customFormat="1" x14ac:dyDescent="0.25">
      <c r="A98" s="35" t="s">
        <v>19</v>
      </c>
      <c r="B98" s="35"/>
      <c r="C98" s="14"/>
      <c r="D98" s="14" t="s">
        <v>104</v>
      </c>
      <c r="E98" s="88">
        <v>0</v>
      </c>
      <c r="F98" s="27"/>
      <c r="G98" s="27"/>
      <c r="H98" s="27"/>
      <c r="I98" s="16">
        <f t="shared" si="23"/>
        <v>0</v>
      </c>
    </row>
    <row r="99" spans="1:9" x14ac:dyDescent="0.25">
      <c r="A99" s="46"/>
      <c r="B99" s="56"/>
      <c r="C99" s="44"/>
      <c r="D99" s="21" t="s">
        <v>13</v>
      </c>
      <c r="E99" s="89">
        <f>SUM(E93:E97)</f>
        <v>10700</v>
      </c>
      <c r="F99" s="22">
        <f t="shared" ref="F99:I99" si="24">SUM(F93:F97)</f>
        <v>0</v>
      </c>
      <c r="G99" s="22">
        <f t="shared" ref="G99:H99" si="25">SUM(G93:G97)</f>
        <v>-100</v>
      </c>
      <c r="H99" s="22">
        <f t="shared" si="25"/>
        <v>0</v>
      </c>
      <c r="I99" s="22">
        <f t="shared" si="24"/>
        <v>10600</v>
      </c>
    </row>
    <row r="100" spans="1:9" x14ac:dyDescent="0.25">
      <c r="A100" s="36"/>
      <c r="B100" s="57" t="s">
        <v>77</v>
      </c>
      <c r="C100" s="37"/>
      <c r="D100" s="38"/>
      <c r="E100" s="94">
        <f>SUM(E99,E91,E84,E77,E71,E55:E66)</f>
        <v>211652.625</v>
      </c>
      <c r="F100" s="39">
        <f t="shared" ref="F100:I100" si="26">SUM(F99,F91,F84,F77,F71,F55:F66)</f>
        <v>0</v>
      </c>
      <c r="G100" s="39">
        <f t="shared" ref="G100:H100" si="27">SUM(G99,G91,G84,G77,G71,G55:G66)</f>
        <v>0</v>
      </c>
      <c r="H100" s="39">
        <f t="shared" si="27"/>
        <v>14268</v>
      </c>
      <c r="I100" s="39">
        <f t="shared" si="26"/>
        <v>225920.625</v>
      </c>
    </row>
    <row r="101" spans="1:9" x14ac:dyDescent="0.25">
      <c r="A101" s="36"/>
      <c r="B101" s="57"/>
      <c r="C101" s="37"/>
      <c r="D101" s="38" t="s">
        <v>8</v>
      </c>
      <c r="E101" s="40"/>
      <c r="F101" s="40"/>
      <c r="G101" s="40"/>
      <c r="H101" s="40"/>
      <c r="I101" s="40"/>
    </row>
    <row r="102" spans="1:9" x14ac:dyDescent="0.25">
      <c r="A102" s="65" t="s">
        <v>123</v>
      </c>
      <c r="B102" s="65" t="s">
        <v>131</v>
      </c>
      <c r="C102" s="60" t="s">
        <v>125</v>
      </c>
      <c r="D102" s="14" t="s">
        <v>21</v>
      </c>
      <c r="E102" s="88">
        <f>23400+8200+13400+16200</f>
        <v>61200</v>
      </c>
      <c r="F102" s="88"/>
      <c r="G102" s="88"/>
      <c r="H102" s="88"/>
      <c r="I102" s="16">
        <f>SUM(E102:H102)</f>
        <v>61200</v>
      </c>
    </row>
    <row r="103" spans="1:9" x14ac:dyDescent="0.25">
      <c r="A103" s="65" t="s">
        <v>123</v>
      </c>
      <c r="B103" s="65" t="s">
        <v>131</v>
      </c>
      <c r="C103" s="58">
        <v>620</v>
      </c>
      <c r="D103" s="14" t="s">
        <v>23</v>
      </c>
      <c r="E103" s="88">
        <f>(E102*0.3495)+(0.02*E102)</f>
        <v>22613.399999999998</v>
      </c>
      <c r="F103" s="88"/>
      <c r="G103" s="88"/>
      <c r="H103" s="88"/>
      <c r="I103" s="16">
        <f t="shared" ref="I103:I118" si="28">SUM(E103:H103)</f>
        <v>22613.399999999998</v>
      </c>
    </row>
    <row r="104" spans="1:9" x14ac:dyDescent="0.25">
      <c r="A104" s="65" t="s">
        <v>123</v>
      </c>
      <c r="B104" s="65" t="s">
        <v>131</v>
      </c>
      <c r="C104" s="58">
        <v>640</v>
      </c>
      <c r="D104" s="14" t="s">
        <v>103</v>
      </c>
      <c r="E104" s="88">
        <v>500</v>
      </c>
      <c r="F104" s="88"/>
      <c r="G104" s="88"/>
      <c r="H104" s="88"/>
      <c r="I104" s="16">
        <f t="shared" si="28"/>
        <v>500</v>
      </c>
    </row>
    <row r="105" spans="1:9" x14ac:dyDescent="0.25">
      <c r="A105" s="65" t="s">
        <v>19</v>
      </c>
      <c r="B105" s="65" t="s">
        <v>131</v>
      </c>
      <c r="C105" s="60" t="s">
        <v>126</v>
      </c>
      <c r="D105" s="14" t="s">
        <v>10</v>
      </c>
      <c r="E105" s="88"/>
      <c r="F105" s="27"/>
      <c r="G105" s="27"/>
      <c r="H105" s="27"/>
      <c r="I105" s="16">
        <f t="shared" si="28"/>
        <v>0</v>
      </c>
    </row>
    <row r="106" spans="1:9" x14ac:dyDescent="0.25">
      <c r="A106" s="65" t="s">
        <v>19</v>
      </c>
      <c r="B106" s="65" t="s">
        <v>131</v>
      </c>
      <c r="C106" s="60" t="s">
        <v>127</v>
      </c>
      <c r="D106" s="14" t="s">
        <v>26</v>
      </c>
      <c r="E106" s="88"/>
      <c r="F106" s="27"/>
      <c r="G106" s="27"/>
      <c r="H106" s="27"/>
      <c r="I106" s="16">
        <f t="shared" si="28"/>
        <v>0</v>
      </c>
    </row>
    <row r="107" spans="1:9" x14ac:dyDescent="0.25">
      <c r="A107" s="65" t="s">
        <v>19</v>
      </c>
      <c r="B107" s="65" t="s">
        <v>131</v>
      </c>
      <c r="C107" s="60" t="s">
        <v>128</v>
      </c>
      <c r="D107" s="14" t="s">
        <v>24</v>
      </c>
      <c r="E107" s="88">
        <v>1000</v>
      </c>
      <c r="F107" s="27"/>
      <c r="G107" s="27"/>
      <c r="H107" s="27"/>
      <c r="I107" s="16">
        <f t="shared" si="28"/>
        <v>1000</v>
      </c>
    </row>
    <row r="108" spans="1:9" x14ac:dyDescent="0.25">
      <c r="A108" s="65" t="s">
        <v>19</v>
      </c>
      <c r="B108" s="65" t="s">
        <v>131</v>
      </c>
      <c r="C108" s="67" t="s">
        <v>136</v>
      </c>
      <c r="D108" s="14" t="s">
        <v>94</v>
      </c>
      <c r="E108" s="88">
        <v>2302.17</v>
      </c>
      <c r="F108" s="27"/>
      <c r="G108" s="27"/>
      <c r="H108" s="27"/>
      <c r="I108" s="16">
        <f t="shared" si="28"/>
        <v>2302.17</v>
      </c>
    </row>
    <row r="109" spans="1:9" x14ac:dyDescent="0.25">
      <c r="A109" s="65" t="s">
        <v>123</v>
      </c>
      <c r="B109" s="65" t="s">
        <v>131</v>
      </c>
      <c r="C109" s="58">
        <v>637014</v>
      </c>
      <c r="D109" s="14" t="s">
        <v>12</v>
      </c>
      <c r="E109" s="88">
        <v>2775</v>
      </c>
      <c r="F109" s="27"/>
      <c r="G109" s="27"/>
      <c r="H109" s="27"/>
      <c r="I109" s="16">
        <f t="shared" si="28"/>
        <v>2775</v>
      </c>
    </row>
    <row r="110" spans="1:9" x14ac:dyDescent="0.25">
      <c r="A110" s="65" t="s">
        <v>123</v>
      </c>
      <c r="B110" s="65" t="s">
        <v>131</v>
      </c>
      <c r="C110" s="58">
        <v>637016</v>
      </c>
      <c r="D110" s="14" t="s">
        <v>25</v>
      </c>
      <c r="E110" s="88">
        <f>0.011*E102</f>
        <v>673.19999999999993</v>
      </c>
      <c r="F110" s="27"/>
      <c r="G110" s="27"/>
      <c r="H110" s="27"/>
      <c r="I110" s="16">
        <f t="shared" si="28"/>
        <v>673.19999999999993</v>
      </c>
    </row>
    <row r="111" spans="1:9" x14ac:dyDescent="0.25">
      <c r="A111" s="65" t="s">
        <v>19</v>
      </c>
      <c r="B111" s="65" t="s">
        <v>131</v>
      </c>
      <c r="C111" s="58">
        <v>630</v>
      </c>
      <c r="D111" s="14" t="s">
        <v>157</v>
      </c>
      <c r="E111" s="88">
        <v>16063.7</v>
      </c>
      <c r="F111" s="27"/>
      <c r="G111" s="27"/>
      <c r="H111" s="27"/>
      <c r="I111" s="16">
        <f t="shared" si="28"/>
        <v>16063.7</v>
      </c>
    </row>
    <row r="112" spans="1:9" x14ac:dyDescent="0.25">
      <c r="A112" s="65" t="s">
        <v>137</v>
      </c>
      <c r="B112" s="65" t="s">
        <v>131</v>
      </c>
      <c r="C112" s="58">
        <v>630</v>
      </c>
      <c r="D112" s="14" t="s">
        <v>54</v>
      </c>
      <c r="E112" s="88">
        <f>18600+2850+1600+1000</f>
        <v>24050</v>
      </c>
      <c r="F112" s="88"/>
      <c r="G112" s="88"/>
      <c r="H112" s="88"/>
      <c r="I112" s="16">
        <f t="shared" si="28"/>
        <v>24050</v>
      </c>
    </row>
    <row r="113" spans="1:9" x14ac:dyDescent="0.25">
      <c r="A113" s="65" t="s">
        <v>137</v>
      </c>
      <c r="B113" s="65" t="s">
        <v>131</v>
      </c>
      <c r="C113" s="58">
        <v>630</v>
      </c>
      <c r="D113" s="14" t="s">
        <v>55</v>
      </c>
      <c r="E113" s="88">
        <f>600+330+800+500</f>
        <v>2230</v>
      </c>
      <c r="F113" s="88"/>
      <c r="G113" s="88"/>
      <c r="H113" s="88"/>
      <c r="I113" s="16">
        <f t="shared" si="28"/>
        <v>2230</v>
      </c>
    </row>
    <row r="114" spans="1:9" x14ac:dyDescent="0.25">
      <c r="A114" s="65" t="s">
        <v>137</v>
      </c>
      <c r="B114" s="65" t="s">
        <v>131</v>
      </c>
      <c r="C114" s="58">
        <v>630</v>
      </c>
      <c r="D114" s="14" t="s">
        <v>56</v>
      </c>
      <c r="E114" s="88">
        <f>5400+220+350+300</f>
        <v>6270</v>
      </c>
      <c r="F114" s="88"/>
      <c r="G114" s="88"/>
      <c r="H114" s="88"/>
      <c r="I114" s="16">
        <f t="shared" si="28"/>
        <v>6270</v>
      </c>
    </row>
    <row r="115" spans="1:9" x14ac:dyDescent="0.25">
      <c r="A115" s="65" t="s">
        <v>137</v>
      </c>
      <c r="B115" s="65" t="s">
        <v>131</v>
      </c>
      <c r="C115" s="58">
        <v>630</v>
      </c>
      <c r="D115" s="14" t="s">
        <v>149</v>
      </c>
      <c r="E115" s="88">
        <f>5400+440+800+500</f>
        <v>7140</v>
      </c>
      <c r="F115" s="88"/>
      <c r="G115" s="88"/>
      <c r="H115" s="88"/>
      <c r="I115" s="16">
        <f t="shared" si="28"/>
        <v>7140</v>
      </c>
    </row>
    <row r="116" spans="1:9" x14ac:dyDescent="0.25">
      <c r="A116" s="65" t="s">
        <v>19</v>
      </c>
      <c r="B116" s="65" t="s">
        <v>131</v>
      </c>
      <c r="C116" s="58">
        <v>630</v>
      </c>
      <c r="D116" s="14" t="s">
        <v>57</v>
      </c>
      <c r="E116" s="88"/>
      <c r="F116" s="27"/>
      <c r="G116" s="27"/>
      <c r="H116" s="27"/>
      <c r="I116" s="16">
        <f t="shared" si="28"/>
        <v>0</v>
      </c>
    </row>
    <row r="117" spans="1:9" x14ac:dyDescent="0.25">
      <c r="A117" s="65" t="s">
        <v>19</v>
      </c>
      <c r="B117" s="65" t="s">
        <v>131</v>
      </c>
      <c r="C117" s="58">
        <v>630</v>
      </c>
      <c r="D117" s="14" t="s">
        <v>60</v>
      </c>
      <c r="E117" s="88">
        <v>2000</v>
      </c>
      <c r="F117" s="27"/>
      <c r="G117" s="27"/>
      <c r="H117" s="27"/>
      <c r="I117" s="16">
        <f t="shared" si="28"/>
        <v>2000</v>
      </c>
    </row>
    <row r="118" spans="1:9" x14ac:dyDescent="0.25">
      <c r="A118" s="65" t="s">
        <v>19</v>
      </c>
      <c r="B118" s="65" t="s">
        <v>131</v>
      </c>
      <c r="C118" s="58">
        <v>630</v>
      </c>
      <c r="D118" s="14" t="s">
        <v>58</v>
      </c>
      <c r="E118" s="88">
        <f>36892.83-1800</f>
        <v>35092.83</v>
      </c>
      <c r="F118" s="27"/>
      <c r="G118" s="27"/>
      <c r="H118" s="27"/>
      <c r="I118" s="16">
        <f t="shared" si="28"/>
        <v>35092.83</v>
      </c>
    </row>
    <row r="119" spans="1:9" x14ac:dyDescent="0.25">
      <c r="A119" s="36"/>
      <c r="B119" s="57" t="s">
        <v>77</v>
      </c>
      <c r="C119" s="37"/>
      <c r="D119" s="38" t="s">
        <v>8</v>
      </c>
      <c r="E119" s="94">
        <f>SUM(E102:E118)</f>
        <v>183910.3</v>
      </c>
      <c r="F119" s="39">
        <f t="shared" ref="F119:I119" si="29">SUM(F102:F118)</f>
        <v>0</v>
      </c>
      <c r="G119" s="39">
        <f t="shared" si="29"/>
        <v>0</v>
      </c>
      <c r="H119" s="39">
        <f t="shared" si="29"/>
        <v>0</v>
      </c>
      <c r="I119" s="39">
        <f t="shared" si="29"/>
        <v>183910.3</v>
      </c>
    </row>
    <row r="120" spans="1:9" x14ac:dyDescent="0.25">
      <c r="A120" s="36"/>
      <c r="B120" s="57"/>
      <c r="C120" s="37"/>
      <c r="D120" s="38" t="s">
        <v>50</v>
      </c>
      <c r="E120" s="92"/>
      <c r="F120" s="40"/>
      <c r="G120" s="40"/>
      <c r="H120" s="40"/>
      <c r="I120" s="40"/>
    </row>
    <row r="121" spans="1:9" x14ac:dyDescent="0.25">
      <c r="A121" s="65" t="s">
        <v>19</v>
      </c>
      <c r="B121" s="65" t="s">
        <v>124</v>
      </c>
      <c r="C121" s="60" t="s">
        <v>125</v>
      </c>
      <c r="D121" s="14" t="s">
        <v>21</v>
      </c>
      <c r="E121" s="88">
        <v>30000</v>
      </c>
      <c r="F121" s="88"/>
      <c r="G121" s="88">
        <v>-100</v>
      </c>
      <c r="H121" s="88"/>
      <c r="I121" s="16">
        <f t="shared" ref="I121:I132" si="30">SUM(E121:H121)</f>
        <v>29900</v>
      </c>
    </row>
    <row r="122" spans="1:9" x14ac:dyDescent="0.25">
      <c r="A122" s="65" t="s">
        <v>19</v>
      </c>
      <c r="B122" s="65" t="s">
        <v>124</v>
      </c>
      <c r="C122" s="58">
        <v>620</v>
      </c>
      <c r="D122" s="14" t="s">
        <v>23</v>
      </c>
      <c r="E122" s="88">
        <f>(0.3495*E121)+(0.02*E121)</f>
        <v>11085</v>
      </c>
      <c r="F122" s="88"/>
      <c r="G122" s="88"/>
      <c r="H122" s="88"/>
      <c r="I122" s="16">
        <f t="shared" si="30"/>
        <v>11085</v>
      </c>
    </row>
    <row r="123" spans="1:9" x14ac:dyDescent="0.25">
      <c r="A123" s="65" t="s">
        <v>19</v>
      </c>
      <c r="B123" s="65" t="s">
        <v>124</v>
      </c>
      <c r="C123" s="58">
        <v>640</v>
      </c>
      <c r="D123" s="14" t="s">
        <v>103</v>
      </c>
      <c r="E123" s="88">
        <v>200</v>
      </c>
      <c r="F123" s="88"/>
      <c r="G123" s="88">
        <v>100</v>
      </c>
      <c r="H123" s="88"/>
      <c r="I123" s="16">
        <f t="shared" si="30"/>
        <v>300</v>
      </c>
    </row>
    <row r="124" spans="1:9" x14ac:dyDescent="0.25">
      <c r="A124" s="65" t="s">
        <v>19</v>
      </c>
      <c r="B124" s="65" t="s">
        <v>124</v>
      </c>
      <c r="C124" s="60" t="s">
        <v>128</v>
      </c>
      <c r="D124" s="14" t="s">
        <v>24</v>
      </c>
      <c r="E124" s="88">
        <v>500</v>
      </c>
      <c r="F124" s="88"/>
      <c r="G124" s="88"/>
      <c r="H124" s="88"/>
      <c r="I124" s="16">
        <f t="shared" si="30"/>
        <v>500</v>
      </c>
    </row>
    <row r="125" spans="1:9" x14ac:dyDescent="0.25">
      <c r="A125" s="65" t="s">
        <v>19</v>
      </c>
      <c r="B125" s="65" t="s">
        <v>124</v>
      </c>
      <c r="C125" s="58">
        <v>637014</v>
      </c>
      <c r="D125" s="14" t="s">
        <v>12</v>
      </c>
      <c r="E125" s="88">
        <v>1500</v>
      </c>
      <c r="F125" s="88"/>
      <c r="G125" s="88"/>
      <c r="H125" s="88"/>
      <c r="I125" s="16">
        <f t="shared" si="30"/>
        <v>1500</v>
      </c>
    </row>
    <row r="126" spans="1:9" x14ac:dyDescent="0.25">
      <c r="A126" s="65" t="s">
        <v>19</v>
      </c>
      <c r="B126" s="65" t="s">
        <v>124</v>
      </c>
      <c r="C126" s="58">
        <v>637016</v>
      </c>
      <c r="D126" s="14" t="s">
        <v>25</v>
      </c>
      <c r="E126" s="88">
        <f>0.011*E121</f>
        <v>330</v>
      </c>
      <c r="F126" s="88"/>
      <c r="G126" s="88"/>
      <c r="H126" s="88"/>
      <c r="I126" s="16">
        <f t="shared" si="30"/>
        <v>330</v>
      </c>
    </row>
    <row r="127" spans="1:9" x14ac:dyDescent="0.25">
      <c r="A127" s="65" t="s">
        <v>19</v>
      </c>
      <c r="B127" s="65" t="s">
        <v>124</v>
      </c>
      <c r="C127" s="58"/>
      <c r="D127" s="14"/>
      <c r="E127" s="88"/>
      <c r="F127" s="88"/>
      <c r="G127" s="88"/>
      <c r="H127" s="88"/>
      <c r="I127" s="16">
        <f t="shared" si="30"/>
        <v>0</v>
      </c>
    </row>
    <row r="128" spans="1:9" x14ac:dyDescent="0.25">
      <c r="A128" s="65" t="s">
        <v>19</v>
      </c>
      <c r="B128" s="65" t="s">
        <v>124</v>
      </c>
      <c r="C128" s="58">
        <v>630</v>
      </c>
      <c r="D128" s="14" t="s">
        <v>34</v>
      </c>
      <c r="E128" s="88">
        <v>0</v>
      </c>
      <c r="F128" s="88"/>
      <c r="G128" s="88"/>
      <c r="H128" s="88"/>
      <c r="I128" s="16">
        <f t="shared" si="30"/>
        <v>0</v>
      </c>
    </row>
    <row r="129" spans="1:9" x14ac:dyDescent="0.25">
      <c r="A129" s="65" t="s">
        <v>19</v>
      </c>
      <c r="B129" s="65" t="s">
        <v>124</v>
      </c>
      <c r="C129" s="58">
        <v>630</v>
      </c>
      <c r="D129" s="14" t="s">
        <v>51</v>
      </c>
      <c r="E129" s="88">
        <v>0</v>
      </c>
      <c r="F129" s="88"/>
      <c r="G129" s="88"/>
      <c r="H129" s="88"/>
      <c r="I129" s="16">
        <f t="shared" si="30"/>
        <v>0</v>
      </c>
    </row>
    <row r="130" spans="1:9" x14ac:dyDescent="0.25">
      <c r="A130" s="65" t="s">
        <v>19</v>
      </c>
      <c r="B130" s="65" t="s">
        <v>124</v>
      </c>
      <c r="C130" s="58">
        <v>630</v>
      </c>
      <c r="D130" s="14" t="s">
        <v>52</v>
      </c>
      <c r="E130" s="88">
        <v>0</v>
      </c>
      <c r="F130" s="88"/>
      <c r="G130" s="88"/>
      <c r="H130" s="88"/>
      <c r="I130" s="16">
        <f t="shared" si="30"/>
        <v>0</v>
      </c>
    </row>
    <row r="131" spans="1:9" x14ac:dyDescent="0.25">
      <c r="A131" s="65" t="s">
        <v>19</v>
      </c>
      <c r="B131" s="65" t="s">
        <v>124</v>
      </c>
      <c r="C131" s="58">
        <v>630</v>
      </c>
      <c r="D131" s="14" t="s">
        <v>17</v>
      </c>
      <c r="E131" s="88">
        <f>15000+2000+7500+1000</f>
        <v>25500</v>
      </c>
      <c r="F131" s="88"/>
      <c r="G131" s="88"/>
      <c r="H131" s="88"/>
      <c r="I131" s="16">
        <f t="shared" si="30"/>
        <v>25500</v>
      </c>
    </row>
    <row r="132" spans="1:9" x14ac:dyDescent="0.25">
      <c r="A132" s="65" t="s">
        <v>19</v>
      </c>
      <c r="B132" s="65" t="s">
        <v>124</v>
      </c>
      <c r="C132" s="58">
        <v>630</v>
      </c>
      <c r="D132" s="14" t="s">
        <v>61</v>
      </c>
      <c r="E132" s="88">
        <f>27000+12000+4000+3500</f>
        <v>46500</v>
      </c>
      <c r="F132" s="88"/>
      <c r="G132" s="88"/>
      <c r="H132" s="88"/>
      <c r="I132" s="16">
        <f t="shared" si="30"/>
        <v>46500</v>
      </c>
    </row>
    <row r="133" spans="1:9" x14ac:dyDescent="0.25">
      <c r="A133" s="69"/>
      <c r="B133" s="69"/>
      <c r="C133" s="70"/>
      <c r="D133" s="71"/>
      <c r="E133" s="101">
        <f>SUM(E121:E132)</f>
        <v>115615</v>
      </c>
      <c r="F133" s="101">
        <f t="shared" ref="F133" si="31">SUM(F121:F132)</f>
        <v>0</v>
      </c>
      <c r="G133" s="104">
        <f>SUM(G121:G132)</f>
        <v>0</v>
      </c>
      <c r="H133" s="104">
        <f t="shared" ref="H133:I133" si="32">SUM(H121:H132)</f>
        <v>0</v>
      </c>
      <c r="I133" s="104">
        <f t="shared" si="32"/>
        <v>115615</v>
      </c>
    </row>
    <row r="134" spans="1:9" x14ac:dyDescent="0.25">
      <c r="A134" s="75" t="s">
        <v>19</v>
      </c>
      <c r="B134" s="75" t="s">
        <v>135</v>
      </c>
      <c r="C134" s="58">
        <v>600</v>
      </c>
      <c r="D134" s="76" t="s">
        <v>138</v>
      </c>
      <c r="E134" s="27"/>
      <c r="F134" s="27"/>
      <c r="G134" s="27"/>
      <c r="H134" s="27"/>
      <c r="I134" s="16">
        <f t="shared" ref="I134" si="33">SUM(E134:H134)</f>
        <v>0</v>
      </c>
    </row>
    <row r="135" spans="1:9" x14ac:dyDescent="0.25">
      <c r="A135" s="75" t="s">
        <v>19</v>
      </c>
      <c r="B135" s="77" t="s">
        <v>135</v>
      </c>
      <c r="C135" s="59">
        <v>717003</v>
      </c>
      <c r="D135" s="76" t="s">
        <v>139</v>
      </c>
      <c r="E135" s="51">
        <v>35000</v>
      </c>
      <c r="F135" s="51"/>
      <c r="G135" s="51"/>
      <c r="H135" s="51"/>
      <c r="I135" s="51">
        <f>SUM(E135:H135)</f>
        <v>35000</v>
      </c>
    </row>
    <row r="136" spans="1:9" x14ac:dyDescent="0.25">
      <c r="A136" s="75" t="s">
        <v>19</v>
      </c>
      <c r="B136" s="75" t="s">
        <v>135</v>
      </c>
      <c r="C136" s="59">
        <v>717002</v>
      </c>
      <c r="D136" s="76" t="s">
        <v>155</v>
      </c>
      <c r="E136" s="86"/>
      <c r="F136" s="51"/>
      <c r="G136" s="51"/>
      <c r="H136" s="51"/>
      <c r="I136" s="51">
        <f t="shared" ref="I136:I137" si="34">SUM(E136:H136)</f>
        <v>0</v>
      </c>
    </row>
    <row r="137" spans="1:9" x14ac:dyDescent="0.25">
      <c r="A137" s="75" t="s">
        <v>19</v>
      </c>
      <c r="B137" s="77" t="s">
        <v>135</v>
      </c>
      <c r="C137" s="59">
        <v>717001</v>
      </c>
      <c r="D137" s="76" t="s">
        <v>159</v>
      </c>
      <c r="E137" s="86"/>
      <c r="F137" s="51"/>
      <c r="G137" s="51"/>
      <c r="H137" s="51"/>
      <c r="I137" s="51">
        <f t="shared" si="34"/>
        <v>0</v>
      </c>
    </row>
    <row r="138" spans="1:9" x14ac:dyDescent="0.25">
      <c r="A138" s="72"/>
      <c r="B138" s="72"/>
      <c r="C138" s="73"/>
      <c r="D138" s="74"/>
      <c r="E138" s="74"/>
      <c r="F138" s="74"/>
      <c r="G138" s="74"/>
      <c r="H138" s="74"/>
      <c r="I138" s="74"/>
    </row>
    <row r="139" spans="1:9" x14ac:dyDescent="0.25">
      <c r="A139" s="96" t="s">
        <v>19</v>
      </c>
      <c r="B139" s="65"/>
      <c r="C139" s="97">
        <v>637037</v>
      </c>
      <c r="D139" s="14" t="s">
        <v>161</v>
      </c>
      <c r="E139" s="27"/>
      <c r="F139" s="27">
        <v>21083.97</v>
      </c>
      <c r="G139" s="27"/>
      <c r="H139" s="27"/>
      <c r="I139" s="16">
        <f>SUM(E139:H139)</f>
        <v>21083.97</v>
      </c>
    </row>
    <row r="140" spans="1:9" x14ac:dyDescent="0.25">
      <c r="A140" s="102" t="s">
        <v>19</v>
      </c>
      <c r="B140" s="65"/>
      <c r="C140" s="97">
        <v>719014</v>
      </c>
      <c r="D140" s="14" t="s">
        <v>168</v>
      </c>
      <c r="E140" s="27"/>
      <c r="F140" s="27">
        <v>4343.42</v>
      </c>
      <c r="G140" s="27"/>
      <c r="H140" s="27"/>
      <c r="I140" s="16">
        <f t="shared" ref="I140" si="35">SUM(E140:H140)</f>
        <v>4343.42</v>
      </c>
    </row>
    <row r="141" spans="1:9" x14ac:dyDescent="0.25">
      <c r="A141" s="105" t="s">
        <v>59</v>
      </c>
      <c r="B141" s="106"/>
      <c r="C141" s="106"/>
      <c r="D141" s="107"/>
      <c r="E141" s="90">
        <f>SUM(E119,E100,E133,E134:E137,E139:E140)</f>
        <v>546177.92500000005</v>
      </c>
      <c r="F141" s="90">
        <f t="shared" ref="F141:I141" si="36">SUM(F119,F100,F133,F134:F137,F139:F140)</f>
        <v>25427.39</v>
      </c>
      <c r="G141" s="90">
        <f t="shared" si="36"/>
        <v>0</v>
      </c>
      <c r="H141" s="90">
        <f t="shared" si="36"/>
        <v>14268</v>
      </c>
      <c r="I141" s="90">
        <f t="shared" si="36"/>
        <v>585873.31500000006</v>
      </c>
    </row>
    <row r="142" spans="1:9" x14ac:dyDescent="0.25">
      <c r="A142" s="111" t="s">
        <v>62</v>
      </c>
      <c r="B142" s="112"/>
      <c r="C142" s="112"/>
      <c r="D142" s="113"/>
      <c r="E142" s="10"/>
      <c r="F142" s="10"/>
      <c r="G142" s="10"/>
      <c r="H142" s="10"/>
      <c r="I142" s="10"/>
    </row>
    <row r="143" spans="1:9" s="43" customFormat="1" x14ac:dyDescent="0.25">
      <c r="A143" s="36"/>
      <c r="B143" s="57"/>
      <c r="C143" s="37"/>
      <c r="D143" s="38"/>
      <c r="E143" s="40"/>
      <c r="F143" s="40"/>
      <c r="G143" s="40"/>
      <c r="H143" s="40"/>
      <c r="I143" s="40"/>
    </row>
    <row r="144" spans="1:9" x14ac:dyDescent="0.25">
      <c r="A144" s="78" t="s">
        <v>137</v>
      </c>
      <c r="B144" s="78" t="s">
        <v>140</v>
      </c>
      <c r="C144" s="60" t="s">
        <v>125</v>
      </c>
      <c r="D144" s="14" t="s">
        <v>21</v>
      </c>
      <c r="E144" s="88">
        <f>3*1150*12+2300+1500</f>
        <v>45200</v>
      </c>
      <c r="F144" s="27"/>
      <c r="G144" s="27">
        <v>3340</v>
      </c>
      <c r="H144" s="27"/>
      <c r="I144" s="16">
        <f>SUM(E144:H144)</f>
        <v>48540</v>
      </c>
    </row>
    <row r="145" spans="1:9" x14ac:dyDescent="0.25">
      <c r="A145" s="78" t="s">
        <v>137</v>
      </c>
      <c r="B145" s="78" t="s">
        <v>140</v>
      </c>
      <c r="C145" s="58">
        <v>620</v>
      </c>
      <c r="D145" s="14" t="s">
        <v>23</v>
      </c>
      <c r="E145" s="88">
        <f>ROUND((0.3495*E144)+(0.02*E144)-(1500*0.3495),0)</f>
        <v>16177</v>
      </c>
      <c r="F145" s="27"/>
      <c r="G145" s="27">
        <v>1170</v>
      </c>
      <c r="H145" s="27"/>
      <c r="I145" s="16">
        <f t="shared" ref="I145:I165" si="37">SUM(E145:H145)</f>
        <v>17347</v>
      </c>
    </row>
    <row r="146" spans="1:9" x14ac:dyDescent="0.25">
      <c r="A146" s="78" t="s">
        <v>137</v>
      </c>
      <c r="B146" s="78" t="s">
        <v>140</v>
      </c>
      <c r="C146" s="58">
        <v>640</v>
      </c>
      <c r="D146" s="14" t="s">
        <v>103</v>
      </c>
      <c r="E146" s="88">
        <v>300</v>
      </c>
      <c r="F146" s="27"/>
      <c r="G146" s="27"/>
      <c r="H146" s="27"/>
      <c r="I146" s="16">
        <f t="shared" si="37"/>
        <v>300</v>
      </c>
    </row>
    <row r="147" spans="1:9" x14ac:dyDescent="0.25">
      <c r="A147" s="78" t="s">
        <v>137</v>
      </c>
      <c r="B147" s="78" t="s">
        <v>140</v>
      </c>
      <c r="C147" s="60" t="s">
        <v>126</v>
      </c>
      <c r="D147" s="14" t="s">
        <v>10</v>
      </c>
      <c r="E147" s="88">
        <v>3000</v>
      </c>
      <c r="F147" s="27"/>
      <c r="G147" s="27"/>
      <c r="H147" s="27"/>
      <c r="I147" s="16">
        <f t="shared" si="37"/>
        <v>3000</v>
      </c>
    </row>
    <row r="148" spans="1:9" x14ac:dyDescent="0.25">
      <c r="A148" s="78" t="s">
        <v>137</v>
      </c>
      <c r="B148" s="78" t="s">
        <v>140</v>
      </c>
      <c r="C148" s="60" t="s">
        <v>127</v>
      </c>
      <c r="D148" s="14" t="s">
        <v>26</v>
      </c>
      <c r="E148" s="88">
        <v>50</v>
      </c>
      <c r="F148" s="27"/>
      <c r="G148" s="27"/>
      <c r="H148" s="27"/>
      <c r="I148" s="16">
        <f t="shared" si="37"/>
        <v>50</v>
      </c>
    </row>
    <row r="149" spans="1:9" x14ac:dyDescent="0.25">
      <c r="A149" s="78" t="s">
        <v>137</v>
      </c>
      <c r="B149" s="78" t="s">
        <v>140</v>
      </c>
      <c r="C149" s="60" t="s">
        <v>128</v>
      </c>
      <c r="D149" s="14" t="s">
        <v>24</v>
      </c>
      <c r="E149" s="88">
        <v>750</v>
      </c>
      <c r="F149" s="27"/>
      <c r="G149" s="27"/>
      <c r="H149" s="27"/>
      <c r="I149" s="16">
        <f t="shared" si="37"/>
        <v>750</v>
      </c>
    </row>
    <row r="150" spans="1:9" x14ac:dyDescent="0.25">
      <c r="A150" s="78" t="s">
        <v>137</v>
      </c>
      <c r="B150" s="78" t="s">
        <v>140</v>
      </c>
      <c r="C150" s="58">
        <v>637035</v>
      </c>
      <c r="D150" s="14" t="s">
        <v>100</v>
      </c>
      <c r="E150" s="88">
        <v>19000</v>
      </c>
      <c r="F150" s="27"/>
      <c r="G150" s="27"/>
      <c r="H150" s="27"/>
      <c r="I150" s="16">
        <f t="shared" si="37"/>
        <v>19000</v>
      </c>
    </row>
    <row r="151" spans="1:9" x14ac:dyDescent="0.25">
      <c r="A151" s="78" t="s">
        <v>137</v>
      </c>
      <c r="B151" s="78" t="s">
        <v>124</v>
      </c>
      <c r="C151" s="58" t="s">
        <v>141</v>
      </c>
      <c r="D151" s="14" t="s">
        <v>108</v>
      </c>
      <c r="E151" s="88">
        <v>2000</v>
      </c>
      <c r="F151" s="27"/>
      <c r="G151" s="27"/>
      <c r="H151" s="27"/>
      <c r="I151" s="16">
        <f t="shared" si="37"/>
        <v>2000</v>
      </c>
    </row>
    <row r="152" spans="1:9" x14ac:dyDescent="0.25">
      <c r="A152" s="78" t="s">
        <v>137</v>
      </c>
      <c r="B152" s="78" t="s">
        <v>124</v>
      </c>
      <c r="C152" s="58" t="s">
        <v>142</v>
      </c>
      <c r="D152" s="58" t="s">
        <v>111</v>
      </c>
      <c r="E152" s="88"/>
      <c r="F152" s="27"/>
      <c r="G152" s="27"/>
      <c r="H152" s="27"/>
      <c r="I152" s="16">
        <f t="shared" si="37"/>
        <v>0</v>
      </c>
    </row>
    <row r="153" spans="1:9" x14ac:dyDescent="0.25">
      <c r="A153" s="78" t="s">
        <v>137</v>
      </c>
      <c r="B153" s="78" t="s">
        <v>124</v>
      </c>
      <c r="C153" s="78"/>
      <c r="D153" s="58" t="s">
        <v>112</v>
      </c>
      <c r="E153" s="88"/>
      <c r="F153" s="27"/>
      <c r="G153" s="27"/>
      <c r="H153" s="27"/>
      <c r="I153" s="16">
        <f t="shared" si="37"/>
        <v>0</v>
      </c>
    </row>
    <row r="154" spans="1:9" x14ac:dyDescent="0.25">
      <c r="A154" s="78" t="s">
        <v>137</v>
      </c>
      <c r="B154" s="78" t="s">
        <v>124</v>
      </c>
      <c r="C154" s="78"/>
      <c r="D154" s="58" t="s">
        <v>113</v>
      </c>
      <c r="E154" s="88"/>
      <c r="F154" s="27"/>
      <c r="G154" s="27"/>
      <c r="H154" s="27"/>
      <c r="I154" s="16">
        <f t="shared" si="37"/>
        <v>0</v>
      </c>
    </row>
    <row r="155" spans="1:9" x14ac:dyDescent="0.25">
      <c r="A155" s="78" t="s">
        <v>137</v>
      </c>
      <c r="B155" s="78" t="s">
        <v>140</v>
      </c>
      <c r="C155" s="60" t="s">
        <v>136</v>
      </c>
      <c r="D155" s="14" t="s">
        <v>96</v>
      </c>
      <c r="E155" s="88">
        <v>1200</v>
      </c>
      <c r="F155" s="27"/>
      <c r="G155" s="27"/>
      <c r="H155" s="27"/>
      <c r="I155" s="16">
        <f t="shared" si="37"/>
        <v>1200</v>
      </c>
    </row>
    <row r="156" spans="1:9" x14ac:dyDescent="0.25">
      <c r="A156" s="78" t="s">
        <v>137</v>
      </c>
      <c r="B156" s="78" t="s">
        <v>140</v>
      </c>
      <c r="C156" s="58">
        <v>637014</v>
      </c>
      <c r="D156" s="14" t="s">
        <v>12</v>
      </c>
      <c r="E156" s="88">
        <v>2200</v>
      </c>
      <c r="F156" s="27"/>
      <c r="G156" s="27"/>
      <c r="H156" s="27"/>
      <c r="I156" s="16">
        <f t="shared" si="37"/>
        <v>2200</v>
      </c>
    </row>
    <row r="157" spans="1:9" x14ac:dyDescent="0.25">
      <c r="A157" s="78" t="s">
        <v>137</v>
      </c>
      <c r="B157" s="78" t="s">
        <v>140</v>
      </c>
      <c r="C157" s="58">
        <v>637016</v>
      </c>
      <c r="D157" s="14" t="s">
        <v>25</v>
      </c>
      <c r="E157" s="88">
        <f>ROUND(0.011*E144,0)</f>
        <v>497</v>
      </c>
      <c r="F157" s="27"/>
      <c r="G157" s="27"/>
      <c r="H157" s="27"/>
      <c r="I157" s="16">
        <f t="shared" si="37"/>
        <v>497</v>
      </c>
    </row>
    <row r="158" spans="1:9" x14ac:dyDescent="0.25">
      <c r="A158" s="78" t="s">
        <v>137</v>
      </c>
      <c r="B158" s="78" t="s">
        <v>140</v>
      </c>
      <c r="C158" s="58">
        <v>630</v>
      </c>
      <c r="D158" s="14" t="s">
        <v>27</v>
      </c>
      <c r="E158" s="88">
        <v>4100</v>
      </c>
      <c r="F158" s="27"/>
      <c r="G158" s="27"/>
      <c r="H158" s="27"/>
      <c r="I158" s="16">
        <f t="shared" si="37"/>
        <v>4100</v>
      </c>
    </row>
    <row r="159" spans="1:9" s="43" customFormat="1" x14ac:dyDescent="0.25">
      <c r="A159" s="36"/>
      <c r="B159" s="57"/>
      <c r="C159" s="37"/>
      <c r="D159" s="38" t="s">
        <v>6</v>
      </c>
      <c r="E159" s="92"/>
      <c r="F159" s="40"/>
      <c r="G159" s="40"/>
      <c r="H159" s="40"/>
      <c r="I159" s="40"/>
    </row>
    <row r="160" spans="1:9" s="43" customFormat="1" x14ac:dyDescent="0.25">
      <c r="A160" s="78" t="s">
        <v>137</v>
      </c>
      <c r="B160" s="78" t="s">
        <v>143</v>
      </c>
      <c r="C160" s="58">
        <v>630</v>
      </c>
      <c r="D160" s="25" t="s">
        <v>63</v>
      </c>
      <c r="E160" s="88">
        <v>600</v>
      </c>
      <c r="F160" s="27"/>
      <c r="G160" s="27"/>
      <c r="H160" s="27"/>
      <c r="I160" s="16">
        <f t="shared" si="37"/>
        <v>600</v>
      </c>
    </row>
    <row r="161" spans="1:9" s="43" customFormat="1" x14ac:dyDescent="0.25">
      <c r="A161" s="78" t="s">
        <v>137</v>
      </c>
      <c r="B161" s="78" t="s">
        <v>144</v>
      </c>
      <c r="C161" s="58">
        <v>630</v>
      </c>
      <c r="D161" s="25" t="s">
        <v>64</v>
      </c>
      <c r="E161" s="88">
        <v>13500</v>
      </c>
      <c r="F161" s="27"/>
      <c r="G161" s="27">
        <v>2500</v>
      </c>
      <c r="H161" s="27"/>
      <c r="I161" s="16">
        <f t="shared" si="37"/>
        <v>16000</v>
      </c>
    </row>
    <row r="162" spans="1:9" x14ac:dyDescent="0.25">
      <c r="A162" s="78" t="s">
        <v>137</v>
      </c>
      <c r="B162" s="78" t="s">
        <v>144</v>
      </c>
      <c r="C162" s="58">
        <v>630</v>
      </c>
      <c r="D162" s="25" t="s">
        <v>65</v>
      </c>
      <c r="E162" s="88">
        <v>1560</v>
      </c>
      <c r="F162" s="27"/>
      <c r="G162" s="27">
        <v>1000</v>
      </c>
      <c r="H162" s="27"/>
      <c r="I162" s="16">
        <f t="shared" si="37"/>
        <v>2560</v>
      </c>
    </row>
    <row r="163" spans="1:9" x14ac:dyDescent="0.25">
      <c r="A163" s="78" t="s">
        <v>137</v>
      </c>
      <c r="B163" s="78" t="s">
        <v>144</v>
      </c>
      <c r="C163" s="58">
        <v>630</v>
      </c>
      <c r="D163" s="14" t="s">
        <v>66</v>
      </c>
      <c r="E163" s="88">
        <v>8300</v>
      </c>
      <c r="F163" s="27"/>
      <c r="G163" s="27"/>
      <c r="H163" s="27"/>
      <c r="I163" s="16">
        <f t="shared" si="37"/>
        <v>8300</v>
      </c>
    </row>
    <row r="164" spans="1:9" x14ac:dyDescent="0.25">
      <c r="A164" s="78" t="s">
        <v>137</v>
      </c>
      <c r="B164" s="78" t="s">
        <v>144</v>
      </c>
      <c r="C164" s="58">
        <v>630</v>
      </c>
      <c r="D164" s="14" t="s">
        <v>67</v>
      </c>
      <c r="E164" s="88">
        <v>360</v>
      </c>
      <c r="F164" s="27"/>
      <c r="G164" s="27"/>
      <c r="H164" s="27"/>
      <c r="I164" s="16">
        <f t="shared" si="37"/>
        <v>360</v>
      </c>
    </row>
    <row r="165" spans="1:9" x14ac:dyDescent="0.25">
      <c r="A165" s="78" t="s">
        <v>137</v>
      </c>
      <c r="B165" s="78" t="s">
        <v>144</v>
      </c>
      <c r="C165" s="58">
        <v>630</v>
      </c>
      <c r="D165" s="42" t="s">
        <v>68</v>
      </c>
      <c r="E165" s="88">
        <v>0</v>
      </c>
      <c r="F165" s="27"/>
      <c r="G165" s="27"/>
      <c r="H165" s="27"/>
      <c r="I165" s="16">
        <f t="shared" si="37"/>
        <v>0</v>
      </c>
    </row>
    <row r="166" spans="1:9" x14ac:dyDescent="0.25">
      <c r="A166" s="78" t="s">
        <v>137</v>
      </c>
      <c r="B166" s="78" t="s">
        <v>144</v>
      </c>
      <c r="C166" s="79" t="s">
        <v>145</v>
      </c>
      <c r="D166" s="42" t="s">
        <v>69</v>
      </c>
      <c r="E166" s="86"/>
      <c r="F166" s="51"/>
      <c r="G166" s="51"/>
      <c r="H166" s="51"/>
      <c r="I166" s="51">
        <f>SUM(E166:H166)</f>
        <v>0</v>
      </c>
    </row>
    <row r="167" spans="1:9" x14ac:dyDescent="0.25">
      <c r="A167" s="78" t="s">
        <v>137</v>
      </c>
      <c r="B167" s="78" t="s">
        <v>144</v>
      </c>
      <c r="C167" s="80" t="s">
        <v>146</v>
      </c>
      <c r="D167" s="81" t="s">
        <v>147</v>
      </c>
      <c r="E167" s="86">
        <v>1222</v>
      </c>
      <c r="F167" s="51">
        <v>24889.01</v>
      </c>
      <c r="G167" s="51">
        <v>-3500</v>
      </c>
      <c r="H167" s="51"/>
      <c r="I167" s="51">
        <f>SUM(E167:H167)</f>
        <v>22611.01</v>
      </c>
    </row>
    <row r="168" spans="1:9" x14ac:dyDescent="0.25">
      <c r="A168" s="19" t="s">
        <v>49</v>
      </c>
      <c r="B168" s="56"/>
      <c r="C168" s="20"/>
      <c r="D168" s="21" t="s">
        <v>79</v>
      </c>
      <c r="E168" s="89">
        <f>SUM(E160:E167)</f>
        <v>25542</v>
      </c>
      <c r="F168" s="22">
        <f>SUM(F160:F167)</f>
        <v>24889.01</v>
      </c>
      <c r="G168" s="22">
        <f>SUM(G160:G167)</f>
        <v>0</v>
      </c>
      <c r="H168" s="22">
        <f>SUM(H160:H167)</f>
        <v>0</v>
      </c>
      <c r="I168" s="22">
        <f>SUM(I160:I167)</f>
        <v>50431.009999999995</v>
      </c>
    </row>
    <row r="169" spans="1:9" x14ac:dyDescent="0.25">
      <c r="A169" s="36"/>
      <c r="B169" s="57"/>
      <c r="C169" s="37"/>
      <c r="D169" s="38" t="s">
        <v>8</v>
      </c>
      <c r="E169" s="92"/>
      <c r="F169" s="40"/>
      <c r="G169" s="40"/>
      <c r="H169" s="40"/>
      <c r="I169" s="40"/>
    </row>
    <row r="170" spans="1:9" x14ac:dyDescent="0.25">
      <c r="A170" s="78" t="s">
        <v>137</v>
      </c>
      <c r="B170" s="65" t="s">
        <v>140</v>
      </c>
      <c r="C170" s="58">
        <v>630</v>
      </c>
      <c r="D170" s="25" t="s">
        <v>70</v>
      </c>
      <c r="E170" s="88">
        <v>180</v>
      </c>
      <c r="F170" s="27"/>
      <c r="G170" s="27">
        <v>820</v>
      </c>
      <c r="H170" s="27"/>
      <c r="I170" s="16">
        <f t="shared" ref="I170:I172" si="38">SUM(E170:H170)</f>
        <v>1000</v>
      </c>
    </row>
    <row r="171" spans="1:9" x14ac:dyDescent="0.25">
      <c r="A171" s="78" t="s">
        <v>137</v>
      </c>
      <c r="B171" s="65" t="s">
        <v>140</v>
      </c>
      <c r="C171" s="58">
        <v>630</v>
      </c>
      <c r="D171" s="28" t="s">
        <v>71</v>
      </c>
      <c r="E171" s="88">
        <v>8500</v>
      </c>
      <c r="F171" s="27"/>
      <c r="G171" s="27"/>
      <c r="H171" s="27"/>
      <c r="I171" s="16">
        <f t="shared" si="38"/>
        <v>8500</v>
      </c>
    </row>
    <row r="172" spans="1:9" x14ac:dyDescent="0.25">
      <c r="A172" s="78" t="s">
        <v>137</v>
      </c>
      <c r="B172" s="65" t="s">
        <v>140</v>
      </c>
      <c r="C172" s="58">
        <v>630</v>
      </c>
      <c r="D172" s="14" t="s">
        <v>72</v>
      </c>
      <c r="E172" s="88">
        <v>34400</v>
      </c>
      <c r="F172" s="27"/>
      <c r="G172" s="27"/>
      <c r="H172" s="27"/>
      <c r="I172" s="16">
        <f t="shared" si="38"/>
        <v>34400</v>
      </c>
    </row>
    <row r="173" spans="1:9" x14ac:dyDescent="0.25">
      <c r="A173" s="19" t="s">
        <v>49</v>
      </c>
      <c r="B173" s="56"/>
      <c r="C173" s="20"/>
      <c r="D173" s="21" t="s">
        <v>8</v>
      </c>
      <c r="E173" s="89">
        <f t="shared" ref="E173" si="39">SUM(E170:E172)</f>
        <v>43080</v>
      </c>
      <c r="F173" s="22">
        <f t="shared" ref="F173:I173" si="40">SUM(F170:F172)</f>
        <v>0</v>
      </c>
      <c r="G173" s="22">
        <f t="shared" si="40"/>
        <v>820</v>
      </c>
      <c r="H173" s="22">
        <f t="shared" si="40"/>
        <v>0</v>
      </c>
      <c r="I173" s="22">
        <f t="shared" si="40"/>
        <v>43900</v>
      </c>
    </row>
    <row r="174" spans="1:9" x14ac:dyDescent="0.25">
      <c r="A174" s="36"/>
      <c r="B174" s="57"/>
      <c r="C174" s="37"/>
      <c r="D174" s="38" t="s">
        <v>13</v>
      </c>
      <c r="E174" s="92"/>
      <c r="F174" s="40"/>
      <c r="G174" s="40"/>
      <c r="H174" s="40"/>
      <c r="I174" s="40"/>
    </row>
    <row r="175" spans="1:9" x14ac:dyDescent="0.25">
      <c r="A175" s="78" t="s">
        <v>137</v>
      </c>
      <c r="B175" s="65" t="s">
        <v>124</v>
      </c>
      <c r="C175" s="58">
        <v>630</v>
      </c>
      <c r="D175" s="14" t="s">
        <v>73</v>
      </c>
      <c r="E175" s="88"/>
      <c r="F175" s="27"/>
      <c r="G175" s="27"/>
      <c r="H175" s="27"/>
      <c r="I175" s="16">
        <f t="shared" ref="I175:I178" si="41">SUM(E175:H175)</f>
        <v>0</v>
      </c>
    </row>
    <row r="176" spans="1:9" s="43" customFormat="1" x14ac:dyDescent="0.25">
      <c r="A176" s="78" t="s">
        <v>137</v>
      </c>
      <c r="B176" s="82" t="s">
        <v>124</v>
      </c>
      <c r="C176" s="62">
        <v>630</v>
      </c>
      <c r="D176" s="15" t="s">
        <v>154</v>
      </c>
      <c r="E176" s="88">
        <v>84</v>
      </c>
      <c r="F176" s="27"/>
      <c r="G176" s="27">
        <v>8400</v>
      </c>
      <c r="H176" s="27"/>
      <c r="I176" s="16">
        <f t="shared" si="41"/>
        <v>8484</v>
      </c>
    </row>
    <row r="177" spans="1:9" s="43" customFormat="1" x14ac:dyDescent="0.25">
      <c r="A177" s="78" t="s">
        <v>137</v>
      </c>
      <c r="B177" s="65" t="s">
        <v>124</v>
      </c>
      <c r="C177" s="62">
        <v>630</v>
      </c>
      <c r="D177" s="15" t="s">
        <v>74</v>
      </c>
      <c r="E177" s="88">
        <v>2000</v>
      </c>
      <c r="F177" s="27"/>
      <c r="G177" s="27"/>
      <c r="H177" s="27"/>
      <c r="I177" s="16">
        <f t="shared" si="41"/>
        <v>2000</v>
      </c>
    </row>
    <row r="178" spans="1:9" s="43" customFormat="1" x14ac:dyDescent="0.25">
      <c r="A178" s="53"/>
      <c r="B178" s="54"/>
      <c r="C178" s="55"/>
      <c r="D178" s="15" t="s">
        <v>105</v>
      </c>
      <c r="E178" s="88"/>
      <c r="F178" s="27"/>
      <c r="G178" s="27"/>
      <c r="H178" s="27"/>
      <c r="I178" s="16">
        <f t="shared" si="41"/>
        <v>0</v>
      </c>
    </row>
    <row r="179" spans="1:9" x14ac:dyDescent="0.25">
      <c r="A179" s="19" t="s">
        <v>49</v>
      </c>
      <c r="B179" s="56" t="s">
        <v>29</v>
      </c>
      <c r="C179" s="20"/>
      <c r="D179" s="21" t="s">
        <v>13</v>
      </c>
      <c r="E179" s="89">
        <f>SUM(E175:E177)</f>
        <v>2084</v>
      </c>
      <c r="F179" s="22">
        <f t="shared" ref="F179:I179" si="42">SUM(F175:F177)</f>
        <v>0</v>
      </c>
      <c r="G179" s="22">
        <f t="shared" ref="G179:H179" si="43">SUM(G175:G177)</f>
        <v>8400</v>
      </c>
      <c r="H179" s="22">
        <f t="shared" si="43"/>
        <v>0</v>
      </c>
      <c r="I179" s="22">
        <f t="shared" si="42"/>
        <v>10484</v>
      </c>
    </row>
    <row r="180" spans="1:9" x14ac:dyDescent="0.25">
      <c r="A180" s="36"/>
      <c r="B180" s="57" t="s">
        <v>80</v>
      </c>
      <c r="C180" s="37"/>
      <c r="D180" s="38"/>
      <c r="E180" s="94">
        <f t="shared" ref="E180:F180" si="44">SUM(E179,E173,E168,E144:E158)</f>
        <v>165180</v>
      </c>
      <c r="F180" s="39">
        <f t="shared" si="44"/>
        <v>24889.01</v>
      </c>
      <c r="G180" s="39">
        <f t="shared" ref="G180:H180" si="45">SUM(G179,G173,G168,G144:G158)</f>
        <v>13730</v>
      </c>
      <c r="H180" s="39">
        <f t="shared" si="45"/>
        <v>0</v>
      </c>
      <c r="I180" s="39">
        <f t="shared" ref="I180" si="46">SUM(I179,I173,I168,I144:I158)</f>
        <v>203799.01</v>
      </c>
    </row>
    <row r="181" spans="1:9" x14ac:dyDescent="0.25">
      <c r="A181" s="36"/>
      <c r="B181" s="57"/>
      <c r="C181" s="37"/>
      <c r="D181" s="38" t="s">
        <v>50</v>
      </c>
      <c r="E181" s="92"/>
      <c r="F181" s="40"/>
      <c r="G181" s="40"/>
      <c r="H181" s="40"/>
      <c r="I181" s="40"/>
    </row>
    <row r="182" spans="1:9" x14ac:dyDescent="0.25">
      <c r="A182" s="78" t="s">
        <v>148</v>
      </c>
      <c r="B182" s="65" t="s">
        <v>140</v>
      </c>
      <c r="C182" s="58">
        <v>717001</v>
      </c>
      <c r="D182" s="14" t="s">
        <v>21</v>
      </c>
      <c r="E182" s="86">
        <v>52150</v>
      </c>
      <c r="F182" s="86"/>
      <c r="G182" s="86"/>
      <c r="H182" s="86">
        <v>-6150</v>
      </c>
      <c r="I182" s="51">
        <f>SUM(E182:H182)</f>
        <v>46000</v>
      </c>
    </row>
    <row r="183" spans="1:9" x14ac:dyDescent="0.25">
      <c r="A183" s="78" t="s">
        <v>148</v>
      </c>
      <c r="B183" s="78" t="s">
        <v>140</v>
      </c>
      <c r="C183" s="58">
        <v>717001</v>
      </c>
      <c r="D183" s="14" t="s">
        <v>23</v>
      </c>
      <c r="E183" s="86">
        <f>(0.3495*E182)+(0.02*E182)</f>
        <v>19269.424999999999</v>
      </c>
      <c r="F183" s="86"/>
      <c r="G183" s="86"/>
      <c r="H183" s="86">
        <v>-2150</v>
      </c>
      <c r="I183" s="51">
        <f t="shared" ref="I183:I196" si="47">SUM(E183:H183)</f>
        <v>17119.424999999999</v>
      </c>
    </row>
    <row r="184" spans="1:9" x14ac:dyDescent="0.25">
      <c r="A184" s="78" t="s">
        <v>148</v>
      </c>
      <c r="B184" s="65" t="s">
        <v>140</v>
      </c>
      <c r="C184" s="58">
        <v>717001</v>
      </c>
      <c r="D184" s="14" t="s">
        <v>103</v>
      </c>
      <c r="E184" s="86">
        <v>350</v>
      </c>
      <c r="F184" s="86"/>
      <c r="G184" s="86"/>
      <c r="H184" s="86"/>
      <c r="I184" s="51">
        <f t="shared" si="47"/>
        <v>350</v>
      </c>
    </row>
    <row r="185" spans="1:9" x14ac:dyDescent="0.25">
      <c r="A185" s="78" t="s">
        <v>148</v>
      </c>
      <c r="B185" s="78" t="s">
        <v>140</v>
      </c>
      <c r="C185" s="58">
        <v>717001</v>
      </c>
      <c r="D185" s="14" t="s">
        <v>24</v>
      </c>
      <c r="E185" s="86">
        <v>875</v>
      </c>
      <c r="F185" s="86"/>
      <c r="G185" s="86"/>
      <c r="H185" s="86"/>
      <c r="I185" s="51">
        <f t="shared" si="47"/>
        <v>875</v>
      </c>
    </row>
    <row r="186" spans="1:9" x14ac:dyDescent="0.25">
      <c r="A186" s="78" t="s">
        <v>148</v>
      </c>
      <c r="B186" s="65" t="s">
        <v>140</v>
      </c>
      <c r="C186" s="58">
        <v>717001</v>
      </c>
      <c r="D186" s="14" t="s">
        <v>12</v>
      </c>
      <c r="E186" s="86">
        <v>2600</v>
      </c>
      <c r="F186" s="86"/>
      <c r="G186" s="86"/>
      <c r="H186" s="86">
        <v>-300</v>
      </c>
      <c r="I186" s="51">
        <f t="shared" si="47"/>
        <v>2300</v>
      </c>
    </row>
    <row r="187" spans="1:9" x14ac:dyDescent="0.25">
      <c r="A187" s="78" t="s">
        <v>148</v>
      </c>
      <c r="B187" s="78" t="s">
        <v>140</v>
      </c>
      <c r="C187" s="58">
        <v>717001</v>
      </c>
      <c r="D187" s="14" t="s">
        <v>25</v>
      </c>
      <c r="E187" s="86">
        <f>0.011*E182</f>
        <v>573.65</v>
      </c>
      <c r="F187" s="86"/>
      <c r="G187" s="86"/>
      <c r="H187" s="86">
        <v>-68</v>
      </c>
      <c r="I187" s="51">
        <f t="shared" si="47"/>
        <v>505.65</v>
      </c>
    </row>
    <row r="188" spans="1:9" x14ac:dyDescent="0.25">
      <c r="A188" s="78" t="s">
        <v>148</v>
      </c>
      <c r="B188" s="65" t="s">
        <v>140</v>
      </c>
      <c r="C188" s="58">
        <v>717001</v>
      </c>
      <c r="D188" s="14" t="s">
        <v>75</v>
      </c>
      <c r="E188" s="86">
        <f>55000+3000+2000+2000</f>
        <v>62000</v>
      </c>
      <c r="F188" s="86"/>
      <c r="G188" s="86"/>
      <c r="H188" s="86">
        <v>-5600</v>
      </c>
      <c r="I188" s="51">
        <f t="shared" si="47"/>
        <v>56400</v>
      </c>
    </row>
    <row r="189" spans="1:9" x14ac:dyDescent="0.25">
      <c r="A189" s="52"/>
      <c r="B189" s="35"/>
      <c r="C189" s="29"/>
      <c r="D189" s="14"/>
      <c r="E189" s="86"/>
      <c r="F189" s="51"/>
      <c r="G189" s="51"/>
      <c r="H189" s="51"/>
      <c r="I189" s="51">
        <f t="shared" si="47"/>
        <v>0</v>
      </c>
    </row>
    <row r="190" spans="1:9" x14ac:dyDescent="0.25">
      <c r="A190" s="78" t="s">
        <v>19</v>
      </c>
      <c r="B190" s="65" t="s">
        <v>140</v>
      </c>
      <c r="C190" s="83">
        <v>717002</v>
      </c>
      <c r="D190" s="14" t="s">
        <v>16</v>
      </c>
      <c r="E190" s="86"/>
      <c r="F190" s="51"/>
      <c r="G190" s="51"/>
      <c r="H190" s="51"/>
      <c r="I190" s="51">
        <f t="shared" si="47"/>
        <v>0</v>
      </c>
    </row>
    <row r="191" spans="1:9" x14ac:dyDescent="0.25">
      <c r="A191" s="47"/>
      <c r="B191" s="35"/>
      <c r="C191" s="29"/>
      <c r="D191" s="14" t="s">
        <v>76</v>
      </c>
      <c r="E191" s="86">
        <v>0</v>
      </c>
      <c r="F191" s="51"/>
      <c r="G191" s="51"/>
      <c r="H191" s="51"/>
      <c r="I191" s="51">
        <f t="shared" si="47"/>
        <v>0</v>
      </c>
    </row>
    <row r="192" spans="1:9" x14ac:dyDescent="0.25">
      <c r="A192" s="78" t="s">
        <v>19</v>
      </c>
      <c r="B192" s="65" t="s">
        <v>124</v>
      </c>
      <c r="C192" s="83">
        <v>714004</v>
      </c>
      <c r="D192" s="15" t="s">
        <v>97</v>
      </c>
      <c r="E192" s="86">
        <v>0</v>
      </c>
      <c r="F192" s="51"/>
      <c r="G192" s="51"/>
      <c r="H192" s="51"/>
      <c r="I192" s="51">
        <f t="shared" si="47"/>
        <v>0</v>
      </c>
    </row>
    <row r="193" spans="1:9" x14ac:dyDescent="0.25">
      <c r="A193" s="78" t="s">
        <v>19</v>
      </c>
      <c r="B193" s="35" t="s">
        <v>124</v>
      </c>
      <c r="C193" s="29">
        <v>713004</v>
      </c>
      <c r="D193" s="14" t="s">
        <v>106</v>
      </c>
      <c r="E193" s="86">
        <v>0</v>
      </c>
      <c r="F193" s="51"/>
      <c r="G193" s="51"/>
      <c r="H193" s="51"/>
      <c r="I193" s="51">
        <f t="shared" si="47"/>
        <v>0</v>
      </c>
    </row>
    <row r="194" spans="1:9" x14ac:dyDescent="0.25">
      <c r="A194" s="78" t="s">
        <v>19</v>
      </c>
      <c r="B194" s="35" t="s">
        <v>144</v>
      </c>
      <c r="C194" s="29">
        <v>600</v>
      </c>
      <c r="D194" s="14" t="s">
        <v>107</v>
      </c>
      <c r="E194" s="86">
        <v>0</v>
      </c>
      <c r="F194" s="51"/>
      <c r="G194" s="51"/>
      <c r="H194" s="51"/>
      <c r="I194" s="51">
        <f t="shared" si="47"/>
        <v>0</v>
      </c>
    </row>
    <row r="195" spans="1:9" x14ac:dyDescent="0.25">
      <c r="A195" s="78" t="s">
        <v>19</v>
      </c>
      <c r="B195" s="98" t="s">
        <v>144</v>
      </c>
      <c r="C195" s="29">
        <v>716</v>
      </c>
      <c r="D195" s="14" t="s">
        <v>165</v>
      </c>
      <c r="E195" s="86">
        <v>10000</v>
      </c>
      <c r="F195" s="51"/>
      <c r="G195" s="51"/>
      <c r="H195" s="51"/>
      <c r="I195" s="51">
        <f t="shared" si="47"/>
        <v>10000</v>
      </c>
    </row>
    <row r="196" spans="1:9" x14ac:dyDescent="0.25">
      <c r="A196" s="78" t="s">
        <v>19</v>
      </c>
      <c r="B196" s="68"/>
      <c r="C196" s="95">
        <v>719014</v>
      </c>
      <c r="D196" s="14" t="s">
        <v>160</v>
      </c>
      <c r="E196" s="86">
        <v>0</v>
      </c>
      <c r="F196" s="51">
        <v>629.15</v>
      </c>
      <c r="G196" s="51"/>
      <c r="H196" s="51"/>
      <c r="I196" s="51">
        <f t="shared" si="47"/>
        <v>629.15</v>
      </c>
    </row>
    <row r="197" spans="1:9" x14ac:dyDescent="0.25">
      <c r="A197" s="36"/>
      <c r="B197" s="57" t="s">
        <v>77</v>
      </c>
      <c r="C197" s="37"/>
      <c r="D197" s="38" t="s">
        <v>50</v>
      </c>
      <c r="E197" s="94">
        <f>SUM(E182:E196)</f>
        <v>147818.07500000001</v>
      </c>
      <c r="F197" s="39">
        <f>SUM(F182:F196)</f>
        <v>629.15</v>
      </c>
      <c r="G197" s="39">
        <f>SUM(G182:G196)</f>
        <v>0</v>
      </c>
      <c r="H197" s="39">
        <f>SUM(H182:H196)</f>
        <v>-14268</v>
      </c>
      <c r="I197" s="39">
        <f>SUM(I182:I196)</f>
        <v>134179.22500000001</v>
      </c>
    </row>
    <row r="198" spans="1:9" ht="15.75" thickBot="1" x14ac:dyDescent="0.3">
      <c r="A198" s="105" t="s">
        <v>78</v>
      </c>
      <c r="B198" s="106"/>
      <c r="C198" s="106"/>
      <c r="D198" s="107"/>
      <c r="E198" s="90">
        <f>SUM(E197,E180)</f>
        <v>312998.07500000001</v>
      </c>
      <c r="F198" s="24">
        <f>SUM(F197,F180)</f>
        <v>25518.16</v>
      </c>
      <c r="G198" s="24">
        <f>SUM(G197,G180)</f>
        <v>13730</v>
      </c>
      <c r="H198" s="24">
        <f>SUM(H197,H180)</f>
        <v>-14268</v>
      </c>
      <c r="I198" s="24">
        <f>SUM(I197,I180)</f>
        <v>337978.23499999999</v>
      </c>
    </row>
    <row r="199" spans="1:9" ht="16.5" thickBot="1" x14ac:dyDescent="0.3">
      <c r="A199" s="48"/>
      <c r="B199" s="108" t="s">
        <v>14</v>
      </c>
      <c r="C199" s="109"/>
      <c r="D199" s="110"/>
      <c r="E199" s="91">
        <f>SUM(E198,E141)</f>
        <v>859176</v>
      </c>
      <c r="F199" s="32">
        <f>SUM(F198,F141)</f>
        <v>50945.55</v>
      </c>
      <c r="G199" s="32">
        <f>SUM(G198,G141)</f>
        <v>13730</v>
      </c>
      <c r="H199" s="32">
        <f>SUM(H198,H141)</f>
        <v>0</v>
      </c>
      <c r="I199" s="32">
        <f>SUM(I198,I141)</f>
        <v>923851.55</v>
      </c>
    </row>
    <row r="200" spans="1:9" s="4" customFormat="1" ht="5.25" customHeight="1" x14ac:dyDescent="0.25">
      <c r="A200" s="49"/>
      <c r="B200" s="49"/>
      <c r="C200" s="49"/>
      <c r="D200" s="49"/>
      <c r="E200" s="5"/>
      <c r="F200" s="5"/>
      <c r="G200" s="5"/>
      <c r="H200" s="5"/>
      <c r="I200" s="5"/>
    </row>
    <row r="201" spans="1:9" s="4" customFormat="1" ht="15.75" customHeight="1" x14ac:dyDescent="0.25">
      <c r="E201" s="5"/>
      <c r="F201" s="5"/>
      <c r="G201" s="5"/>
      <c r="H201" s="5"/>
      <c r="I201" s="5"/>
    </row>
  </sheetData>
  <mergeCells count="14">
    <mergeCell ref="B1:I1"/>
    <mergeCell ref="B2:I2"/>
    <mergeCell ref="B49:D49"/>
    <mergeCell ref="A48:D48"/>
    <mergeCell ref="E5:I5"/>
    <mergeCell ref="A7:D7"/>
    <mergeCell ref="A28:D28"/>
    <mergeCell ref="A29:D29"/>
    <mergeCell ref="A198:D198"/>
    <mergeCell ref="B199:D199"/>
    <mergeCell ref="A142:D142"/>
    <mergeCell ref="E52:I52"/>
    <mergeCell ref="A54:D54"/>
    <mergeCell ref="A141:D141"/>
  </mergeCells>
  <phoneticPr fontId="22" type="noConversion"/>
  <pageMargins left="0.19" right="0.33" top="0.74803149606299213" bottom="0.74803149606299213" header="0.31496062992125984" footer="0.31496062992125984"/>
  <pageSetup paperSize="8"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Pro veduci</cp:lastModifiedBy>
  <cp:lastPrinted>2021-07-26T06:11:52Z</cp:lastPrinted>
  <dcterms:created xsi:type="dcterms:W3CDTF">2015-11-12T08:45:14Z</dcterms:created>
  <dcterms:modified xsi:type="dcterms:W3CDTF">2021-12-20T07:50:32Z</dcterms:modified>
</cp:coreProperties>
</file>