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veduci\Desktop\Čerpanie rozpočtu Kľúč\"/>
    </mc:Choice>
  </mc:AlternateContent>
  <xr:revisionPtr revIDLastSave="0" documentId="8_{576717AB-E3AD-413B-9A44-C3A594CC479A}" xr6:coauthVersionLast="47" xr6:coauthVersionMax="47" xr10:uidLastSave="{00000000-0000-0000-0000-000000000000}"/>
  <bookViews>
    <workbookView xWindow="-120" yWindow="-120" windowWidth="24240" windowHeight="13140" xr2:uid="{0BF24B61-091B-4A42-9A5D-7175636A817E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G174" i="1"/>
  <c r="H174" i="1"/>
  <c r="J174" i="1"/>
  <c r="J164" i="1"/>
  <c r="J176" i="1"/>
  <c r="J175" i="1"/>
  <c r="J167" i="1"/>
  <c r="J168" i="1"/>
  <c r="J169" i="1"/>
  <c r="J170" i="1"/>
  <c r="J171" i="1"/>
  <c r="J172" i="1"/>
  <c r="J166" i="1"/>
  <c r="J163" i="1"/>
  <c r="J158" i="1"/>
  <c r="J153" i="1"/>
  <c r="J162" i="1"/>
  <c r="J161" i="1"/>
  <c r="J156" i="1"/>
  <c r="J157" i="1"/>
  <c r="J155" i="1"/>
  <c r="J152" i="1"/>
  <c r="J146" i="1"/>
  <c r="J147" i="1"/>
  <c r="J148" i="1"/>
  <c r="J149" i="1"/>
  <c r="J145" i="1"/>
  <c r="J133" i="1"/>
  <c r="J134" i="1"/>
  <c r="J135" i="1"/>
  <c r="J136" i="1"/>
  <c r="J137" i="1"/>
  <c r="J138" i="1"/>
  <c r="J139" i="1"/>
  <c r="J140" i="1"/>
  <c r="J141" i="1"/>
  <c r="J142" i="1"/>
  <c r="J143" i="1"/>
  <c r="J132" i="1"/>
  <c r="J119" i="1"/>
  <c r="H176" i="1"/>
  <c r="H175" i="1"/>
  <c r="H167" i="1"/>
  <c r="H168" i="1"/>
  <c r="H169" i="1"/>
  <c r="H170" i="1"/>
  <c r="H171" i="1"/>
  <c r="H172" i="1"/>
  <c r="H166" i="1"/>
  <c r="H158" i="1"/>
  <c r="H163" i="1"/>
  <c r="H164" i="1"/>
  <c r="H161" i="1"/>
  <c r="H162" i="1"/>
  <c r="H160" i="1"/>
  <c r="H156" i="1"/>
  <c r="H157" i="1"/>
  <c r="H155" i="1"/>
  <c r="H153" i="1"/>
  <c r="H152" i="1"/>
  <c r="H151" i="1"/>
  <c r="H146" i="1"/>
  <c r="H147" i="1"/>
  <c r="H148" i="1"/>
  <c r="H149" i="1"/>
  <c r="H150" i="1"/>
  <c r="H145" i="1"/>
  <c r="H133" i="1"/>
  <c r="H134" i="1"/>
  <c r="H135" i="1"/>
  <c r="H136" i="1"/>
  <c r="H137" i="1"/>
  <c r="H138" i="1"/>
  <c r="H139" i="1"/>
  <c r="H140" i="1"/>
  <c r="H141" i="1"/>
  <c r="H142" i="1"/>
  <c r="H143" i="1"/>
  <c r="H132" i="1"/>
  <c r="J129" i="1"/>
  <c r="J127" i="1"/>
  <c r="J126" i="1"/>
  <c r="G129" i="1"/>
  <c r="H129" i="1"/>
  <c r="G126" i="1"/>
  <c r="H126" i="1"/>
  <c r="J128" i="1"/>
  <c r="H128" i="1"/>
  <c r="H127" i="1"/>
  <c r="J123" i="1"/>
  <c r="H123" i="1"/>
  <c r="J120" i="1"/>
  <c r="J110" i="1"/>
  <c r="J111" i="1"/>
  <c r="J112" i="1"/>
  <c r="J113" i="1"/>
  <c r="J114" i="1"/>
  <c r="J109" i="1"/>
  <c r="H110" i="1"/>
  <c r="H111" i="1"/>
  <c r="H112" i="1"/>
  <c r="H113" i="1"/>
  <c r="H114" i="1"/>
  <c r="H116" i="1"/>
  <c r="H117" i="1"/>
  <c r="H118" i="1"/>
  <c r="H119" i="1"/>
  <c r="H120" i="1"/>
  <c r="H109" i="1"/>
  <c r="J96" i="1"/>
  <c r="J97" i="1"/>
  <c r="J98" i="1"/>
  <c r="J99" i="1"/>
  <c r="J100" i="1"/>
  <c r="J101" i="1"/>
  <c r="J102" i="1"/>
  <c r="J103" i="1"/>
  <c r="J105" i="1"/>
  <c r="J106" i="1"/>
  <c r="J95" i="1"/>
  <c r="J91" i="1"/>
  <c r="J92" i="1"/>
  <c r="J90" i="1"/>
  <c r="H107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90" i="1"/>
  <c r="J88" i="1"/>
  <c r="J87" i="1"/>
  <c r="J86" i="1"/>
  <c r="J85" i="1"/>
  <c r="J82" i="1"/>
  <c r="J81" i="1"/>
  <c r="J79" i="1"/>
  <c r="J72" i="1"/>
  <c r="J73" i="1"/>
  <c r="J74" i="1"/>
  <c r="J71" i="1"/>
  <c r="J83" i="1"/>
  <c r="J76" i="1"/>
  <c r="J69" i="1"/>
  <c r="J63" i="1"/>
  <c r="J78" i="1"/>
  <c r="J67" i="1"/>
  <c r="J60" i="1"/>
  <c r="J49" i="1"/>
  <c r="J50" i="1"/>
  <c r="J51" i="1"/>
  <c r="J52" i="1"/>
  <c r="J53" i="1"/>
  <c r="J54" i="1"/>
  <c r="J55" i="1"/>
  <c r="J56" i="1"/>
  <c r="J57" i="1"/>
  <c r="J58" i="1"/>
  <c r="J48" i="1"/>
  <c r="H87" i="1"/>
  <c r="H88" i="1"/>
  <c r="H83" i="1"/>
  <c r="H76" i="1"/>
  <c r="H69" i="1"/>
  <c r="H63" i="1"/>
  <c r="H86" i="1"/>
  <c r="H85" i="1"/>
  <c r="H80" i="1"/>
  <c r="H78" i="1"/>
  <c r="H82" i="1"/>
  <c r="H81" i="1"/>
  <c r="H79" i="1"/>
  <c r="H72" i="1"/>
  <c r="H73" i="1"/>
  <c r="H74" i="1"/>
  <c r="H75" i="1"/>
  <c r="H71" i="1"/>
  <c r="H66" i="1"/>
  <c r="H67" i="1"/>
  <c r="H68" i="1"/>
  <c r="H65" i="1"/>
  <c r="H61" i="1"/>
  <c r="H62" i="1"/>
  <c r="H60" i="1"/>
  <c r="H49" i="1"/>
  <c r="H50" i="1"/>
  <c r="H51" i="1"/>
  <c r="H52" i="1"/>
  <c r="H53" i="1"/>
  <c r="H54" i="1"/>
  <c r="H55" i="1"/>
  <c r="H56" i="1"/>
  <c r="H57" i="1"/>
  <c r="H58" i="1"/>
  <c r="H48" i="1"/>
  <c r="J42" i="1"/>
  <c r="J41" i="1"/>
  <c r="J22" i="1"/>
  <c r="J40" i="1"/>
  <c r="J28" i="1"/>
  <c r="J21" i="1"/>
  <c r="J17" i="1"/>
  <c r="J32" i="1"/>
  <c r="J33" i="1"/>
  <c r="J34" i="1"/>
  <c r="J35" i="1"/>
  <c r="J36" i="1"/>
  <c r="J37" i="1"/>
  <c r="J38" i="1"/>
  <c r="J39" i="1"/>
  <c r="J31" i="1"/>
  <c r="J20" i="1"/>
  <c r="J30" i="1"/>
  <c r="J27" i="1"/>
  <c r="J26" i="1"/>
  <c r="J25" i="1"/>
  <c r="H30" i="1"/>
  <c r="H40" i="1"/>
  <c r="H41" i="1"/>
  <c r="H42" i="1" s="1"/>
  <c r="H32" i="1"/>
  <c r="H33" i="1"/>
  <c r="H34" i="1"/>
  <c r="H35" i="1"/>
  <c r="H36" i="1"/>
  <c r="H37" i="1"/>
  <c r="H38" i="1"/>
  <c r="H39" i="1"/>
  <c r="H31" i="1"/>
  <c r="H28" i="1"/>
  <c r="H27" i="1"/>
  <c r="H26" i="1"/>
  <c r="H25" i="1"/>
  <c r="H21" i="1"/>
  <c r="H22" i="1"/>
  <c r="H20" i="1"/>
  <c r="H19" i="1"/>
  <c r="H17" i="1"/>
  <c r="J16" i="1"/>
  <c r="J15" i="1"/>
  <c r="J13" i="1"/>
  <c r="J10" i="1"/>
  <c r="J11" i="1"/>
  <c r="J12" i="1"/>
  <c r="J9" i="1"/>
  <c r="H10" i="1"/>
  <c r="H11" i="1"/>
  <c r="H12" i="1"/>
  <c r="H13" i="1"/>
  <c r="H14" i="1"/>
  <c r="H15" i="1"/>
  <c r="H16" i="1"/>
  <c r="H9" i="1"/>
  <c r="G163" i="1"/>
  <c r="G158" i="1"/>
  <c r="G153" i="1"/>
  <c r="G107" i="1"/>
  <c r="G87" i="1"/>
  <c r="G88" i="1"/>
  <c r="G83" i="1"/>
  <c r="G76" i="1"/>
  <c r="G69" i="1"/>
  <c r="G63" i="1"/>
  <c r="G17" i="1"/>
  <c r="G21" i="1"/>
  <c r="G22" i="1"/>
  <c r="G28" i="1"/>
  <c r="G40" i="1"/>
  <c r="G41" i="1"/>
  <c r="G164" i="1" l="1"/>
  <c r="G42" i="1"/>
  <c r="F17" i="1" l="1"/>
  <c r="F22" i="1" s="1"/>
  <c r="F21" i="1"/>
  <c r="F28" i="1"/>
  <c r="F40" i="1"/>
  <c r="E40" i="1"/>
  <c r="E41" i="1" s="1"/>
  <c r="E42" i="1" s="1"/>
  <c r="F41" i="1"/>
  <c r="F63" i="1"/>
  <c r="F69" i="1"/>
  <c r="F76" i="1"/>
  <c r="F83" i="1"/>
  <c r="F87" i="1"/>
  <c r="F88" i="1"/>
  <c r="F129" i="1" s="1"/>
  <c r="F107" i="1"/>
  <c r="F126" i="1"/>
  <c r="E129" i="1"/>
  <c r="F153" i="1"/>
  <c r="F158" i="1"/>
  <c r="F163" i="1"/>
  <c r="F164" i="1"/>
  <c r="F177" i="1"/>
  <c r="G177" i="1"/>
  <c r="H177" i="1"/>
  <c r="H178" i="1" s="1"/>
  <c r="H179" i="1" s="1"/>
  <c r="G178" i="1"/>
  <c r="G179" i="1" s="1"/>
  <c r="E179" i="1"/>
  <c r="E178" i="1"/>
  <c r="E177" i="1"/>
  <c r="E174" i="1"/>
  <c r="E164" i="1"/>
  <c r="E163" i="1"/>
  <c r="E158" i="1"/>
  <c r="E153" i="1"/>
  <c r="E126" i="1"/>
  <c r="E107" i="1"/>
  <c r="E88" i="1"/>
  <c r="E87" i="1"/>
  <c r="E83" i="1"/>
  <c r="E76" i="1"/>
  <c r="E69" i="1"/>
  <c r="E63" i="1"/>
  <c r="E28" i="1"/>
  <c r="E22" i="1"/>
  <c r="E21" i="1"/>
  <c r="E17" i="1"/>
  <c r="F178" i="1" l="1"/>
  <c r="F42" i="1"/>
  <c r="F179" i="1"/>
  <c r="I174" i="1" l="1"/>
  <c r="I177" i="1" s="1"/>
  <c r="I163" i="1"/>
  <c r="I158" i="1"/>
  <c r="I153" i="1"/>
  <c r="E132" i="1"/>
  <c r="E133" i="1" s="1"/>
  <c r="I123" i="1"/>
  <c r="I126" i="1" s="1"/>
  <c r="E120" i="1"/>
  <c r="E119" i="1"/>
  <c r="E114" i="1"/>
  <c r="E110" i="1"/>
  <c r="I107" i="1"/>
  <c r="E106" i="1"/>
  <c r="E103" i="1"/>
  <c r="E102" i="1"/>
  <c r="E101" i="1"/>
  <c r="E100" i="1"/>
  <c r="E90" i="1"/>
  <c r="I86" i="1"/>
  <c r="I85" i="1"/>
  <c r="I83" i="1"/>
  <c r="I76" i="1"/>
  <c r="E72" i="1"/>
  <c r="E71" i="1"/>
  <c r="I69" i="1"/>
  <c r="I63" i="1"/>
  <c r="I58" i="1"/>
  <c r="I51" i="1"/>
  <c r="I39" i="1"/>
  <c r="I40" i="1" s="1"/>
  <c r="I25" i="1"/>
  <c r="I28" i="1" s="1"/>
  <c r="I21" i="1"/>
  <c r="I17" i="1"/>
  <c r="I87" i="1" l="1"/>
  <c r="I88" i="1" s="1"/>
  <c r="I129" i="1" s="1"/>
  <c r="I22" i="1"/>
  <c r="I41" i="1"/>
  <c r="E91" i="1"/>
  <c r="E142" i="1"/>
  <c r="I164" i="1"/>
  <c r="J177" i="1"/>
  <c r="E98" i="1"/>
  <c r="J107" i="1" l="1"/>
  <c r="I178" i="1"/>
  <c r="I42" i="1"/>
  <c r="I179" i="1" l="1"/>
  <c r="J178" i="1"/>
  <c r="J1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 Lendak</author>
    <author>Pro veduci</author>
    <author>DSL</author>
  </authors>
  <commentList>
    <comment ref="E13" authorId="0" shapeId="0" xr:uid="{59AC0C97-4C48-4BED-8959-6935599FA88E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dokončenie interiéru zasadačky nad poštou+kancelária účtovníčky obce</t>
        </r>
      </text>
    </comment>
    <comment ref="I13" authorId="0" shapeId="0" xr:uid="{F7DB3A5F-300E-4E89-85B7-685B7A42D87A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dokončenie interiéru zasadačky nad poštou+kancelária účtovníčky obce</t>
        </r>
      </text>
    </comment>
    <comment ref="E15" authorId="0" shapeId="0" xr:uid="{32A99306-FECD-4D58-B60B-DB769EB84148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I15" authorId="0" shapeId="0" xr:uid="{9588385E-C6BF-491D-9945-19E77A95546C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I25" authorId="0" shapeId="0" xr:uid="{E9613DBE-F8D7-48D7-9D97-B3729D45AC75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I26" authorId="1" shapeId="0" xr:uid="{A5661D9E-FFC7-4995-8D45-52FF9E7DA39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8000€ = vodovod na nové IBV (Pod Kicorou, Rovinky - celá oblasť);
2000€ = projekt na ulicu Jána Krstiteľa - vodovod</t>
        </r>
      </text>
    </comment>
    <comment ref="E27" authorId="1" shapeId="0" xr:uid="{411BC8DB-DC99-463D-8DE0-FC856AB1124E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nev. Prostriedky z roku 2020 vrátené obci v roku 2021= 
výstavba kanalizácie = 629,15€</t>
        </r>
      </text>
    </comment>
    <comment ref="E54" authorId="1" shapeId="0" xr:uid="{6C01CD50-E5AE-453E-9E96-0FA857AAEAA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1600 - benzín
900 - oprava, servis, špeciálne kvapaliny, STK, poistenie</t>
        </r>
      </text>
    </comment>
    <comment ref="I54" authorId="1" shapeId="0" xr:uid="{657D44D0-0D94-4CB9-BC38-670F3E0A95B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1600 - benzín
900 - oprava, servis, špeciálne kvapaliny, STK, poistenie</t>
        </r>
      </text>
    </comment>
    <comment ref="E57" authorId="1" shapeId="0" xr:uid="{B5BC97AA-79CF-4F80-8762-10384C40FA7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 </t>
        </r>
      </text>
    </comment>
    <comment ref="I57" authorId="1" shapeId="0" xr:uid="{F33D2E29-E261-44A5-89C0-A6B27B1B9C9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 </t>
        </r>
      </text>
    </comment>
    <comment ref="E58" authorId="1" shapeId="0" xr:uid="{C040BD3D-699D-4060-8341-C6617FB3B2B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IVES, poštovné, poplatky banke, telefón, poplatok RTVS; iné, školenia</t>
        </r>
      </text>
    </comment>
    <comment ref="I58" authorId="1" shapeId="0" xr:uid="{278190A2-4645-4101-8931-89D1B1DE9F4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IVES, poštovné, poplatky banke, telefón, poplatok RTVS; iné, školenia</t>
        </r>
      </text>
    </comment>
    <comment ref="E60" authorId="1" shapeId="0" xr:uid="{C408EB8A-3C57-4319-A3A2-BE25212DBCE5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4000€ - nové brány na cintorín;</t>
        </r>
      </text>
    </comment>
    <comment ref="E71" authorId="1" shapeId="0" xr:uid="{5C4C8E5F-3B9C-4759-8847-E9A3B41FCDA1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7 500€ -kamenivo a chem. posyp; 
9 000€ - 3 lapače oprava- Poľná, Potočná, Na Kosorku
2 000€ - spevnenie krajníc po asfaltovaní v dĺžke cca 750 m
5 000€ - oprava výtlkov po zime
8 500€ - nafta;</t>
        </r>
      </text>
    </comment>
    <comment ref="E72" authorId="0" shapeId="0" xr:uid="{83BA4DBF-397D-486A-819D-2E544C0413C6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10 000€ - rekonštrukcia chodníka - Kostolná-Zadná (nová dlažba+obrubníky+zosvahovanie pomocou L-prefabrikátov (bezbariérový prístup))
1 500 € - pokládka starej dlažby na ul. Jána Pavla II. ;
3 000 € - doplnenie zábradlia na vyvýšenom chodníku na Hlavnej ul.+oprava chodníka (v zákrute sa posúva oporný prefabrikát)</t>
        </r>
      </text>
    </comment>
    <comment ref="I72" authorId="0" shapeId="0" xr:uid="{827CA28F-11C4-4C0B-A398-D620C672E845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10 000€ - rekonštrukcia chodníka - Kostolná-Zadná (nová dlažba+obrubníky+zosvahovanie pomocou L-prefabrikátov (bezbariérový prístup))
1 500 € - pokládka starej dlažby na ul. Jána Pavla II. ;
3 000 € - doplnenie zábradlia na vyvýšenom chodníku na Hlavnej ul.+oprava chodníka (v zákrute sa posúva oporný prefabrikát)</t>
        </r>
      </text>
    </comment>
    <comment ref="E78" authorId="0" shapeId="0" xr:uid="{9F12C468-A9D5-4892-8771-B4F3D9B7F69E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I78" authorId="0" shapeId="0" xr:uid="{61D73176-7468-481B-988F-BDA3E0F058BC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I80" authorId="0" shapeId="0" xr:uid="{9E78890A-6097-44BF-A4DF-87438B2651E6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E82" authorId="1" shapeId="0" xr:uid="{D29ADDB9-F603-41C4-89D9-BF52B11E311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detského ihriska vo Dvore; jarné orezávanie konárov; vianočná výzdoba</t>
        </r>
      </text>
    </comment>
    <comment ref="I82" authorId="1" shapeId="0" xr:uid="{59D864C5-8733-45BE-9775-BB9B73457AB5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detského ihriska vo Dvore; jarné orezávanie konárov; vianočná výzdoba</t>
        </r>
      </text>
    </comment>
    <comment ref="E86" authorId="1" shapeId="0" xr:uid="{CA029941-CC21-4CBA-B4D1-7E32ADEFF4F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JCB - servis zadného ramena = 3200€;
JCB - 2x servis = 3000€;
MAN - brity na snehovú radlicu= 600€;
Poistenie na vozidlá = 1300€;
Ostatné opravy a servis, STK, EK, atď = 2 400€</t>
        </r>
      </text>
    </comment>
    <comment ref="I86" authorId="1" shapeId="0" xr:uid="{6CC87E8C-6640-4B46-B884-B13B5F770E9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JCB - servis zadného ramena = 3200€;
JCB - 2x servis = 3000€;
MAN - brity na snehovú radlicu= 600€;
Poistenie na vozidlá = 1300€;
Ostatné opravy a servis, STK, EK, atď = 2 400€</t>
        </r>
      </text>
    </comment>
    <comment ref="E100" authorId="1" shapeId="0" xr:uid="{4EBD9E09-475B-421D-AC55-64FA65EB24F1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18 600€
nákup 26 400 žltých vriec = 2 850€
nafta = 1 600€
iné výdavky = 1 000€ (alikvótne roz. výdavky na opravu aút, poistenie PZP, poštovné, atď)</t>
        </r>
      </text>
    </comment>
    <comment ref="I100" authorId="1" shapeId="0" xr:uid="{3628FEB9-1359-40A9-B908-8670B17813CE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18 600€
nákup 26 400 žltých vriec = 2 850€
nafta = 1 600€
iné výdavky = 1 000€ (alikvótne roz. výdavky na opravu aút, poistenie PZP, poštovné, atď)</t>
        </r>
      </text>
    </comment>
    <comment ref="E101" authorId="1" shapeId="0" xr:uid="{E25F5BE5-FFE0-4C1D-A730-2D050A2D1551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600€
nákup 3 000 zelených vriec = 330€
nafta = 800€
iné výdavky = 500€ (alikvótne roz. výdavky na opravu aút, poistenie PZP, poštovné, atď)</t>
        </r>
      </text>
    </comment>
    <comment ref="I101" authorId="1" shapeId="0" xr:uid="{135E8A8A-A1E0-46AC-A729-31725B9B583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600€
nákup 3 000 zelených vriec = 330€
nafta = 800€
iné výdavky = 500€ (alikvótne roz. výdavky na opravu aút, poistenie PZP, poštovné, atď)</t>
        </r>
      </text>
    </comment>
    <comment ref="E102" authorId="1" shapeId="0" xr:uid="{B4E729E8-198C-4A0D-9810-73D0E3523E5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2 000 modrých vriec = 220€
nafta = 300€
iné výdavky = 300€ (alikvótne roz. výdavky na opravu aút, poistenie PZP, poštovné, atď)</t>
        </r>
      </text>
    </comment>
    <comment ref="I102" authorId="1" shapeId="0" xr:uid="{4834A8E2-FADD-47C9-9B75-057A90C13D0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2 000 modrých vriec = 220€
nafta = 300€
iné výdavky = 300€ (alikvótne roz. výdavky na opravu aút, poistenie PZP, poštovné, atď)</t>
        </r>
      </text>
    </comment>
    <comment ref="E103" authorId="1" shapeId="0" xr:uid="{62F4F046-E661-4F24-BA70-C5551F56D73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3 000 červených a 1000 oranžových vriec = 440€
nafta = 800€
iné výdavky = 500€ (alikvótne roz. výdavky na opravu aút, poistenie PZP, poštovné, atď)</t>
        </r>
      </text>
    </comment>
    <comment ref="I103" authorId="1" shapeId="0" xr:uid="{BDC07A74-4BC1-4058-940F-932C151285BB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dotriedenie = 5400€
nákup 3 000 červených a 1000 oranžových vriec = 440€
nafta = 800€
iné výdavky = 500€ (alikvótne roz. výdavky na opravu aút, poistenie PZP, poštovné, atď)</t>
        </r>
      </text>
    </comment>
    <comment ref="E119" authorId="1" shapeId="0" xr:uid="{D7382B3B-6E57-433F-B353-36394799DCF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15 000 € - MK odvodnenie - plastové rúry s priemerom 600 mm SN8 a žb rúry DN 800 mm, cez cestu so železobet. rúrami; v celkovej dĺžke 95(Plastové 600) a 105 metrov(žb 800) (cez gaberka-birošíka) (Plastové 7600€, žb. rúry 5600€, kamenivo 800€, nafta 1000€;
2 000 € - dokončenie odvodnenia na moste na Potočnej;
7 500 € - MK odvodnenie pred parkom a popod Kino Goral (BGU žľab, obrubníky, priekopové žľaby);
1 000 € - oprava "školského kanála" na Mlynskej ulici
               </t>
        </r>
      </text>
    </comment>
    <comment ref="I119" authorId="1" shapeId="0" xr:uid="{1656E9B0-CA5D-4C06-A3D3-CE9636C2AC79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15 000 € - MK odvodnenie - plastové rúry s priemerom 600 mm SN8 a žb rúry DN 800 mm, cez cestu so železobet. rúrami; v celkovej dĺžke 95(Plastové 600) a 105 metrov(žb 800) (cez gaberka-birošíka) (Plastové 7600€, žb. rúry 5600€, kamenivo 800€, nafta 1000€;
2 000 € - dokončenie odvodnenia na moste na Potočnej;
7 500 € - MK odvodnenie pred parkom a popod Kino Goral (BGU žľab, obrubníky, priekopové žľaby);
1 000 € - oprava "školského kanála" na Mlynskej ulici
               </t>
        </r>
      </text>
    </comment>
    <comment ref="E120" authorId="2" shapeId="0" xr:uid="{3FFCC233-6154-4D5A-9233-ED48EB4C24A9}">
      <text>
        <r>
          <rPr>
            <b/>
            <sz val="9"/>
            <color indexed="81"/>
            <rFont val="Segoe UI"/>
            <family val="2"/>
            <charset val="238"/>
          </rPr>
          <t>DSL:</t>
        </r>
        <r>
          <rPr>
            <sz val="9"/>
            <color indexed="81"/>
            <rFont val="Segoe UI"/>
            <family val="2"/>
            <charset val="238"/>
          </rPr>
          <t xml:space="preserve">
Zemné práce - Lokalita Predná Hora po uložení splaškovej kanalizácie = 27 000€
Zemné práce - bagrovanie cesty od Sintry po richtársku cestu+nová cesta pod Kicorou od šatní=  12 000€;
Zemné práce - vysypať cestu k ČOV po uložení VN = 3500€
Ďalšie ZP 4000€ - iné;                        </t>
        </r>
      </text>
    </comment>
    <comment ref="I120" authorId="2" shapeId="0" xr:uid="{70BF5096-EF39-4578-BF04-046494BBCE13}">
      <text>
        <r>
          <rPr>
            <b/>
            <sz val="9"/>
            <color indexed="81"/>
            <rFont val="Segoe UI"/>
            <family val="2"/>
            <charset val="238"/>
          </rPr>
          <t>DSL:</t>
        </r>
        <r>
          <rPr>
            <sz val="9"/>
            <color indexed="81"/>
            <rFont val="Segoe UI"/>
            <family val="2"/>
            <charset val="238"/>
          </rPr>
          <t xml:space="preserve">
Zemné práce - Lokalita Predná Hora po uložení splaškovej kanalizácie = 27 000€
Zemné práce - bagrovanie cesty od Sintry po richtársku cestu+nová cesta pod Kicorou od šatní=  12 000€;
Zemné práce - vysypať cestu k ČOV po uložení VN = 3500€
Ďalšie ZP 4000€ - iné;                        </t>
        </r>
      </text>
    </comment>
    <comment ref="I123" authorId="0" shapeId="0" xr:uid="{A9E6F0B7-D8EB-4D10-8C1D-D59C363DDBB3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I127" authorId="1" shapeId="0" xr:uid="{D13AF3B3-77A5-402B-AD31-99E54EB6AB5E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15 000 € - MK odvodnenie - plastové rúry s priemerom 600 mm SN8 a žb rúry DN 800 mm, cez cestu so železobet. rúrami; v celkovej dĺžke 95(Plastové 600) a 105 metrov(žb 800) (cez gaberka-birošíka) (Plastové 7600€, žb. rúry 5600€, kamenivo 800€, nafta 1000€;
2 000 € - dokončenie odvodnenia na moste na Potočnej;
7 500 € - MK odvodnenie pred parkom a popod Kino Goral (BGU žľab, obrubníky, priekopové žľaby);
1 000 € - oprava "školského kanála" na Mlynskej ulici
               </t>
        </r>
      </text>
    </comment>
    <comment ref="I132" authorId="1" shapeId="0" xr:uid="{5ED37392-805A-4A8C-9FF9-E3DD25085CF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15 000 € - MK odvodnenie - plastové rúry s priemerom 600 mm SN8 a žb rúry DN 800 mm, cez cestu so železobet. rúrami; v celkovej dĺžke 95(Plastové 600) a 105 metrov(žb 800) (cez gaberka-birošíka) (Plastové 7600€, žb. rúry 5600€, kamenivo 800€, nafta 1000€;
2 000 € - dokončenie odvodnenia na moste na Potočnej;
7 500 € - MK odvodnenie pred parkom a popod Kino Goral (BGU žľab, obrubníky, priekopové žľaby);
1 000 € - oprava "školského kanála" na Mlynskej ulici
               </t>
        </r>
      </text>
    </comment>
    <comment ref="E139" authorId="1" shapeId="0" xr:uid="{4DD6A9D5-0CD2-48E4-B832-4C946036DDC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</t>
        </r>
      </text>
    </comment>
    <comment ref="I139" authorId="1" shapeId="0" xr:uid="{5BDF814D-2653-4B58-AA36-FC8BBE25C9E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</t>
        </r>
      </text>
    </comment>
    <comment ref="E140" authorId="1" shapeId="0" xr:uid="{AEF8EAE3-3128-4C24-A7AF-38B28F709C2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500 - benzín
700 - oprava, servis, špeciálne kvapaliny, STK, poistenie</t>
        </r>
      </text>
    </comment>
    <comment ref="I140" authorId="1" shapeId="0" xr:uid="{F2EDBAC4-4F29-4097-ACA2-9356DF5FDFF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500 - benzín
700 - oprava, servis, špeciálne kvapaliny, STK, poistenie</t>
        </r>
      </text>
    </comment>
    <comment ref="E143" authorId="1" shapeId="0" xr:uid="{7079A656-382E-48C3-9737-2ECD21500D4C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nájom kopírky, poštovné, telefón, poplatok RTVS, rekreačné poukazy, </t>
        </r>
      </text>
    </comment>
    <comment ref="I143" authorId="1" shapeId="0" xr:uid="{294AC438-5EA8-4335-81E3-33373290346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nájom kopírky, poštovné, telefón, poplatok RTVS, rekreačné poukazy, </t>
        </r>
      </text>
    </comment>
    <comment ref="I145" authorId="1" shapeId="0" xr:uid="{59846876-F853-4569-ABB1-463D44A4320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</t>
        </r>
      </text>
    </comment>
    <comment ref="E146" authorId="1" shapeId="0" xr:uid="{88B0D8A3-23CF-4C78-86EE-CB531EA6E6E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výmena 170 vodomerov</t>
        </r>
      </text>
    </comment>
    <comment ref="I146" authorId="1" shapeId="0" xr:uid="{1A16F0F8-E319-4C43-B127-613D758FB90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výmena 170 vodomerov</t>
        </r>
      </text>
    </comment>
    <comment ref="E148" authorId="1" shapeId="0" xr:uid="{87D4D1B5-F7F8-4A73-BA1B-76659A38CD9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1500 el. energia
1300 rozbor vody
5000 poplatok štátu
500 iné</t>
        </r>
      </text>
    </comment>
    <comment ref="I148" authorId="1" shapeId="0" xr:uid="{5777F320-6158-4808-B34C-DE1E25D2D001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1500 el. energia
1300 rozbor vody
5000 poplatok štátu
500 iné</t>
        </r>
      </text>
    </comment>
    <comment ref="I151" authorId="0" shapeId="0" xr:uid="{80F51785-DA7E-47D0-A653-3CFDDCEA474B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21 000€ verejné osvetlenie Predná Hora - 30 stĺpov;
3 000 € verejné osvetlenie - Jarná dokončenie - 3 stĺpy;
3 000 € verejné osvetlenie - chodníky - 3 stĺpy;
3 000 € verejné osvetlenie - Hlavná smer Harmónia - 3 stĺpy;</t>
        </r>
      </text>
    </comment>
    <comment ref="I155" authorId="1" shapeId="0" xr:uid="{4AAB7A36-65CD-46F6-9207-132562130371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1500 el. energia
1300 rozbor vody
5000 poplatok štátu
500 iné</t>
        </r>
      </text>
    </comment>
    <comment ref="E156" authorId="1" shapeId="0" xr:uid="{A5A7FCAF-B35D-4647-9748-85AA5D1855A9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6500 el. energia
1000 vývoz kalu
1000 nafta + drobný mat.+ostatné služby
</t>
        </r>
      </text>
    </comment>
    <comment ref="I156" authorId="1" shapeId="0" xr:uid="{32ED0EC7-7392-41A3-951D-3B031600C10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6500 el. energia
1000 vývoz kalu
1000 nafta + drobný mat.+ostatné služby
</t>
        </r>
      </text>
    </comment>
    <comment ref="E157" authorId="1" shapeId="0" xr:uid="{3B86833F-AEA7-48CA-8686-8AB758A3913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24 000 el. energia
1 200€ nafta + ost. Služby a drobný materiál
3 200€ - zmluva o prevádzkovaní ČOV s W-kontrol.
3000€ - vývoz zhrabiek z čističky</t>
        </r>
      </text>
    </comment>
    <comment ref="I157" authorId="1" shapeId="0" xr:uid="{B313EE54-4497-4F56-A6BB-63DA2275647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24 000 el. energia
1 200€ nafta + ost. Služby a drobný materiál
3 200€ - zmluva o prevádzkovaní ČOV s W-kontrol.
3000€ - vývoz zhrabiek z čističky</t>
        </r>
      </text>
    </comment>
    <comment ref="I161" authorId="1" shapeId="0" xr:uid="{F3AA6870-308A-4623-8A35-889E7EE3129E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6500 el. energia
1000 vývoz kalu
1000 nafta + drobný mat.+ostatné služby
</t>
        </r>
      </text>
    </comment>
    <comment ref="E166" authorId="2" shapeId="0" xr:uid="{B80270D3-FFDA-4197-9DE9-50467BAB7BEF}">
      <text>
        <r>
          <rPr>
            <b/>
            <sz val="9"/>
            <color indexed="81"/>
            <rFont val="Segoe UI"/>
            <family val="2"/>
            <charset val="238"/>
          </rPr>
          <t>DSL:</t>
        </r>
        <r>
          <rPr>
            <sz val="9"/>
            <color indexed="81"/>
            <rFont val="Segoe UI"/>
            <family val="2"/>
            <charset val="238"/>
          </rPr>
          <t xml:space="preserve">
3,5 zamestnanca</t>
        </r>
      </text>
    </comment>
    <comment ref="E172" authorId="2" shapeId="0" xr:uid="{FCA5FC04-32F9-46A8-BF65-E96407E93103}">
      <text>
        <r>
          <rPr>
            <b/>
            <sz val="9"/>
            <color indexed="81"/>
            <rFont val="Segoe UI"/>
            <family val="2"/>
            <charset val="238"/>
          </rPr>
          <t xml:space="preserve">DSL: </t>
        </r>
        <r>
          <rPr>
            <sz val="9"/>
            <color indexed="81"/>
            <rFont val="Segoe UI"/>
            <family val="2"/>
            <charset val="238"/>
          </rPr>
          <t xml:space="preserve">
Cena 1m = cca 92€
Lokalita Predná Hora/ Jarná - 750 m * 92=69 000€ 
               </t>
        </r>
      </text>
    </comment>
    <comment ref="I172" authorId="2" shapeId="0" xr:uid="{42069352-81B5-4392-98AB-F8A260FACAFD}">
      <text>
        <r>
          <rPr>
            <b/>
            <sz val="9"/>
            <color indexed="81"/>
            <rFont val="Segoe UI"/>
            <family val="2"/>
            <charset val="238"/>
          </rPr>
          <t xml:space="preserve">DSL: </t>
        </r>
        <r>
          <rPr>
            <sz val="9"/>
            <color indexed="81"/>
            <rFont val="Segoe UI"/>
            <family val="2"/>
            <charset val="238"/>
          </rPr>
          <t xml:space="preserve">
Cena 1m = cca 130€
Lokalita Predná Hora- 500 m - hlavné kanalizačné potrubie + 500 m prípojok= 55 000€
3000€ = porealizačné zameranie splaškovej kanalizácie (Lemeje, Jána Vojtaššáka, Jarná, ...);
2000€ = projekt na splaškovú kanalizáciu na Mlynskej ulici (okolo rieky);
2000€ = projekt na ulicu Jána Krstiteľa - splašková kanalizácia a vodovod               </t>
        </r>
      </text>
    </comment>
  </commentList>
</comments>
</file>

<file path=xl/sharedStrings.xml><?xml version="1.0" encoding="utf-8"?>
<sst xmlns="http://schemas.openxmlformats.org/spreadsheetml/2006/main" count="433" uniqueCount="153">
  <si>
    <t>(sumy sú uvádzané v €)</t>
  </si>
  <si>
    <t>PRÍJMOVÁ ČASŤ</t>
  </si>
  <si>
    <t>Očak. skutočnosť</t>
  </si>
  <si>
    <t>Návrhy rozpočtov</t>
  </si>
  <si>
    <t>Zdroj</t>
  </si>
  <si>
    <t>FNC</t>
  </si>
  <si>
    <t>Položka, podpoložka</t>
  </si>
  <si>
    <t>Text</t>
  </si>
  <si>
    <t xml:space="preserve"> Rozpočet 2021</t>
  </si>
  <si>
    <t xml:space="preserve">Čerpanie </t>
  </si>
  <si>
    <t>Čerpanie v %</t>
  </si>
  <si>
    <t>Hlavná činnosť</t>
  </si>
  <si>
    <t xml:space="preserve"> </t>
  </si>
  <si>
    <t>Príspevok od obce</t>
  </si>
  <si>
    <t xml:space="preserve">Bežný transfér Obce na HČ  </t>
  </si>
  <si>
    <t>Bežný transfér Obce na TKO</t>
  </si>
  <si>
    <t>Bežný tr.-,sp.kraj.,divoké skládky</t>
  </si>
  <si>
    <t>Bežný tr.-MK odvodnenie/ Zemné práce</t>
  </si>
  <si>
    <t>Kapitálový transfer - nadstavba budovy Ocú</t>
  </si>
  <si>
    <t>Kapitálový transfer - prekládka plynovodu</t>
  </si>
  <si>
    <t>Kapitálový transfer - výstavba verejného osvetlnenia</t>
  </si>
  <si>
    <t>prostriedky z predchádzajúcich rokov</t>
  </si>
  <si>
    <t>Spolu</t>
  </si>
  <si>
    <t>Vlastné príjmy</t>
  </si>
  <si>
    <t>223;229</t>
  </si>
  <si>
    <t>Iné príjmy</t>
  </si>
  <si>
    <t>131;223001</t>
  </si>
  <si>
    <t>TKO separovaný zber</t>
  </si>
  <si>
    <t>Spolu hlavná činnosť</t>
  </si>
  <si>
    <t>Podnikateľská činnosť</t>
  </si>
  <si>
    <t>Iná podnikateľská činnosť</t>
  </si>
  <si>
    <t>41;46</t>
  </si>
  <si>
    <t xml:space="preserve">Iné - práce OcÚ </t>
  </si>
  <si>
    <t>Kap. transfer - projektová dokumentácia - vodovod</t>
  </si>
  <si>
    <t>41;71</t>
  </si>
  <si>
    <t>Obyvateľstvo</t>
  </si>
  <si>
    <t>Práce pre iné PO</t>
  </si>
  <si>
    <t>Pohrebné služby</t>
  </si>
  <si>
    <t>Odber vody</t>
  </si>
  <si>
    <t>Vodovodné prípojky</t>
  </si>
  <si>
    <t>Poškodené vodomery</t>
  </si>
  <si>
    <t>Vodomer vlastný zdroj</t>
  </si>
  <si>
    <t>Stočné</t>
  </si>
  <si>
    <t>Náhrady,refundácie</t>
  </si>
  <si>
    <t>Spolu podnikateľská činnosť</t>
  </si>
  <si>
    <t>BEŽNÉ PRÍJMY SPOLU</t>
  </si>
  <si>
    <t>VÝDAVKOVÁ ČASŤ</t>
  </si>
  <si>
    <t>41</t>
  </si>
  <si>
    <t>0451</t>
  </si>
  <si>
    <t>610;637027</t>
  </si>
  <si>
    <t xml:space="preserve">Mzdové náklady </t>
  </si>
  <si>
    <t>Odvody</t>
  </si>
  <si>
    <t>Náhrady príjmu/ odchodné</t>
  </si>
  <si>
    <t>633006;637035</t>
  </si>
  <si>
    <t>Všeobecný materiál</t>
  </si>
  <si>
    <t>633009;637035</t>
  </si>
  <si>
    <t>Knihy - odborná literatúra</t>
  </si>
  <si>
    <t>633010;637035</t>
  </si>
  <si>
    <t>Pracovné odevy, obuv a prac. pomôcky</t>
  </si>
  <si>
    <t>634; 637035</t>
  </si>
  <si>
    <t>Dopravné - Dacia</t>
  </si>
  <si>
    <t>Stravovanie</t>
  </si>
  <si>
    <t>Prídel do sociálneho fondu</t>
  </si>
  <si>
    <t>632001; 637035</t>
  </si>
  <si>
    <t>Energie - plyn + el. energia</t>
  </si>
  <si>
    <t>ostatné služby</t>
  </si>
  <si>
    <t>Služby občanom</t>
  </si>
  <si>
    <t>0510</t>
  </si>
  <si>
    <t>Cintorín oprava</t>
  </si>
  <si>
    <t>Cintorín údržba - šparovanie, kosenie, zber</t>
  </si>
  <si>
    <t>Cintorín - osvetlenie</t>
  </si>
  <si>
    <t>Služby občanom - cintorín</t>
  </si>
  <si>
    <t>Bezpečnosť, právo a poriadok</t>
  </si>
  <si>
    <t>0320</t>
  </si>
  <si>
    <t>Požiarna ochrana - prehliadky</t>
  </si>
  <si>
    <t>Požiarna ochrana - protipožiarne prístrešky</t>
  </si>
  <si>
    <t>Protipožiarne povodňové šachty</t>
  </si>
  <si>
    <t>Protipožiarne označenie</t>
  </si>
  <si>
    <t>Pozemné komunikácie</t>
  </si>
  <si>
    <t>MK údržba</t>
  </si>
  <si>
    <t xml:space="preserve">Rekonštrukcia chodníkov </t>
  </si>
  <si>
    <t>Dopravné značenie</t>
  </si>
  <si>
    <t>Označenie ulíc</t>
  </si>
  <si>
    <t>Predlženie priepustov</t>
  </si>
  <si>
    <t>Prostredie pre život</t>
  </si>
  <si>
    <t>0640</t>
  </si>
  <si>
    <t>Verejné osvetlenie výstavba</t>
  </si>
  <si>
    <t>Verejné osvetlenie údržba</t>
  </si>
  <si>
    <t>0830</t>
  </si>
  <si>
    <t>Verejný rozhlas výstavba</t>
  </si>
  <si>
    <t>Verejný rozhlas údržba</t>
  </si>
  <si>
    <t>0620</t>
  </si>
  <si>
    <t>Verejné priestranstvo/verejná výzdoba</t>
  </si>
  <si>
    <t>Podporná činnosť</t>
  </si>
  <si>
    <t>Sklad; Garáže; ZDR; Budova OcÚ; Pošta; Ovocie a zeleniena</t>
  </si>
  <si>
    <t>Opravy a servis aút, poistenie (JCB, UN, MAN, Gazelle, Vega);</t>
  </si>
  <si>
    <t xml:space="preserve">Spolu </t>
  </si>
  <si>
    <t>Odpadové hospodárstvo</t>
  </si>
  <si>
    <t>Náhrady príjmu</t>
  </si>
  <si>
    <t>634;637035</t>
  </si>
  <si>
    <t>Volvo - opravy, údržba, špec. kvapaliny, poistenie</t>
  </si>
  <si>
    <t>Zber  VOK/ zberný dvor</t>
  </si>
  <si>
    <t>71</t>
  </si>
  <si>
    <t>Zber plastov</t>
  </si>
  <si>
    <t>Zber skla</t>
  </si>
  <si>
    <t>Zber papiera</t>
  </si>
  <si>
    <t>Zber kovov - plechovky + VKM</t>
  </si>
  <si>
    <t>Zber nebezpečného odpadu</t>
  </si>
  <si>
    <t>Zberný dvor/Divoké skládky</t>
  </si>
  <si>
    <t>Zber a odvoz TKO /MOK/</t>
  </si>
  <si>
    <t>Akcie obce</t>
  </si>
  <si>
    <t>Zábradlie - ul. Potočná (múzeum)</t>
  </si>
  <si>
    <t>Spevnené krajnice</t>
  </si>
  <si>
    <t>MK - odvodnenie, lapače (príspevok)</t>
  </si>
  <si>
    <t>Údržba MK - Zemné práce+navážka štrku</t>
  </si>
  <si>
    <t>Rekonštrukcia strechy obecného úradu</t>
  </si>
  <si>
    <t>Výstavba nadstavby pošty</t>
  </si>
  <si>
    <t>Zateplenie budovy PrO</t>
  </si>
  <si>
    <t>Výstavba aut. zastávok</t>
  </si>
  <si>
    <t>Spolu akcie obce</t>
  </si>
  <si>
    <t>vratky z nev. bežných transferov z roku 2020</t>
  </si>
  <si>
    <t>vratky z nev. kapit. transferov z roku 2020</t>
  </si>
  <si>
    <t>0520</t>
  </si>
  <si>
    <t>Dane (DPH)</t>
  </si>
  <si>
    <t>632001;637035</t>
  </si>
  <si>
    <t>Renault</t>
  </si>
  <si>
    <t>0840</t>
  </si>
  <si>
    <t>0630</t>
  </si>
  <si>
    <t>Vodovod údržba</t>
  </si>
  <si>
    <t>Vodovod výstavba - rodinné prípojky</t>
  </si>
  <si>
    <t xml:space="preserve">Vodojem údržba </t>
  </si>
  <si>
    <t>Vodojem rauš, pramene</t>
  </si>
  <si>
    <t>Zásobné a prívodné potrubie</t>
  </si>
  <si>
    <t>717001</t>
  </si>
  <si>
    <t xml:space="preserve">Predľženie vodov.siete </t>
  </si>
  <si>
    <t>717002</t>
  </si>
  <si>
    <t>Rekonštrukcia vodovodnej siete</t>
  </si>
  <si>
    <t xml:space="preserve">Služby občanom </t>
  </si>
  <si>
    <t>Splaškový kanál</t>
  </si>
  <si>
    <t>Prečerpávačky</t>
  </si>
  <si>
    <t>ČOV prevádzka, kontrola kanála</t>
  </si>
  <si>
    <t>Práce OcÚ</t>
  </si>
  <si>
    <t>Práce pre PO</t>
  </si>
  <si>
    <t>Spolu 04;06;12</t>
  </si>
  <si>
    <t>46;41</t>
  </si>
  <si>
    <t>Výstavba - rozšírenie kanalizácie (a ČOV)</t>
  </si>
  <si>
    <t>Vodovod - kapitálový transfer - projektová dok.</t>
  </si>
  <si>
    <t>vratka z nevyčerpaných kap. transferov roka 2020</t>
  </si>
  <si>
    <t>VÝDAVKY SPOLU</t>
  </si>
  <si>
    <t xml:space="preserve">Hospodárenie PrO 1. polrok 2021 </t>
  </si>
  <si>
    <t>Úprava 08.03.2021</t>
  </si>
  <si>
    <t>Úprava 28.06.2021</t>
  </si>
  <si>
    <t>Rozpočet po úpravách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</si>
</sst>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969696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C4D79B"/>
        <bgColor rgb="FF969696"/>
      </patternFill>
    </fill>
    <fill>
      <patternFill patternType="solid">
        <fgColor theme="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9" tint="0.39997558519241921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A9CF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0" borderId="10" xfId="2" applyFont="1" applyBorder="1"/>
    <xf numFmtId="0" fontId="12" fillId="0" borderId="10" xfId="2" applyFont="1" applyBorder="1"/>
    <xf numFmtId="2" fontId="1" fillId="0" borderId="0" xfId="0" applyNumberFormat="1" applyFont="1"/>
    <xf numFmtId="0" fontId="11" fillId="0" borderId="11" xfId="2" applyFont="1" applyBorder="1"/>
    <xf numFmtId="0" fontId="12" fillId="0" borderId="12" xfId="2" applyFont="1" applyBorder="1"/>
    <xf numFmtId="0" fontId="12" fillId="0" borderId="11" xfId="2" applyFont="1" applyBorder="1"/>
    <xf numFmtId="0" fontId="12" fillId="3" borderId="10" xfId="2" applyFont="1" applyFill="1" applyBorder="1"/>
    <xf numFmtId="1" fontId="3" fillId="4" borderId="10" xfId="0" applyNumberFormat="1" applyFont="1" applyFill="1" applyBorder="1"/>
    <xf numFmtId="2" fontId="3" fillId="4" borderId="10" xfId="0" applyNumberFormat="1" applyFont="1" applyFill="1" applyBorder="1"/>
    <xf numFmtId="9" fontId="3" fillId="4" borderId="10" xfId="1" applyFont="1" applyFill="1" applyBorder="1"/>
    <xf numFmtId="0" fontId="11" fillId="0" borderId="10" xfId="2" applyFont="1" applyBorder="1" applyAlignment="1">
      <alignment horizontal="right"/>
    </xf>
    <xf numFmtId="2" fontId="8" fillId="5" borderId="10" xfId="2" applyNumberFormat="1" applyFont="1" applyFill="1" applyBorder="1"/>
    <xf numFmtId="10" fontId="8" fillId="5" borderId="10" xfId="1" applyNumberFormat="1" applyFont="1" applyFill="1" applyBorder="1"/>
    <xf numFmtId="0" fontId="11" fillId="6" borderId="10" xfId="2" applyFont="1" applyFill="1" applyBorder="1" applyAlignment="1">
      <alignment horizontal="right"/>
    </xf>
    <xf numFmtId="0" fontId="11" fillId="7" borderId="10" xfId="2" applyFont="1" applyFill="1" applyBorder="1" applyAlignment="1">
      <alignment horizontal="right"/>
    </xf>
    <xf numFmtId="0" fontId="11" fillId="7" borderId="10" xfId="2" applyFont="1" applyFill="1" applyBorder="1"/>
    <xf numFmtId="0" fontId="16" fillId="8" borderId="0" xfId="0" applyFont="1" applyFill="1"/>
    <xf numFmtId="0" fontId="17" fillId="7" borderId="10" xfId="2" applyFont="1" applyFill="1" applyBorder="1"/>
    <xf numFmtId="0" fontId="12" fillId="8" borderId="10" xfId="2" applyFont="1" applyFill="1" applyBorder="1"/>
    <xf numFmtId="0" fontId="12" fillId="9" borderId="10" xfId="2" applyFont="1" applyFill="1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11" fillId="0" borderId="10" xfId="2" applyNumberFormat="1" applyFont="1" applyBorder="1"/>
    <xf numFmtId="2" fontId="0" fillId="0" borderId="0" xfId="0" applyNumberFormat="1"/>
    <xf numFmtId="0" fontId="12" fillId="10" borderId="10" xfId="0" applyFont="1" applyFill="1" applyBorder="1"/>
    <xf numFmtId="0" fontId="12" fillId="0" borderId="10" xfId="0" applyFont="1" applyBorder="1"/>
    <xf numFmtId="0" fontId="1" fillId="8" borderId="0" xfId="0" applyFont="1" applyFill="1"/>
    <xf numFmtId="49" fontId="19" fillId="7" borderId="10" xfId="2" applyNumberFormat="1" applyFont="1" applyFill="1" applyBorder="1"/>
    <xf numFmtId="0" fontId="20" fillId="0" borderId="10" xfId="0" applyFont="1" applyBorder="1"/>
    <xf numFmtId="3" fontId="11" fillId="0" borderId="10" xfId="2" applyNumberFormat="1" applyFont="1" applyBorder="1" applyAlignment="1">
      <alignment horizontal="right"/>
    </xf>
    <xf numFmtId="49" fontId="21" fillId="11" borderId="12" xfId="2" applyNumberFormat="1" applyFont="1" applyFill="1" applyBorder="1"/>
    <xf numFmtId="49" fontId="21" fillId="11" borderId="11" xfId="2" applyNumberFormat="1" applyFont="1" applyFill="1" applyBorder="1"/>
    <xf numFmtId="0" fontId="21" fillId="11" borderId="10" xfId="2" applyFont="1" applyFill="1" applyBorder="1"/>
    <xf numFmtId="49" fontId="19" fillId="12" borderId="12" xfId="2" applyNumberFormat="1" applyFont="1" applyFill="1" applyBorder="1"/>
    <xf numFmtId="0" fontId="11" fillId="12" borderId="10" xfId="2" applyFont="1" applyFill="1" applyBorder="1"/>
    <xf numFmtId="49" fontId="19" fillId="12" borderId="10" xfId="2" applyNumberFormat="1" applyFont="1" applyFill="1" applyBorder="1"/>
    <xf numFmtId="49" fontId="22" fillId="13" borderId="12" xfId="2" applyNumberFormat="1" applyFont="1" applyFill="1" applyBorder="1"/>
    <xf numFmtId="49" fontId="22" fillId="13" borderId="11" xfId="2" applyNumberFormat="1" applyFont="1" applyFill="1" applyBorder="1"/>
    <xf numFmtId="0" fontId="23" fillId="13" borderId="10" xfId="2" applyFont="1" applyFill="1" applyBorder="1"/>
    <xf numFmtId="2" fontId="23" fillId="13" borderId="10" xfId="2" applyNumberFormat="1" applyFont="1" applyFill="1" applyBorder="1"/>
    <xf numFmtId="49" fontId="11" fillId="0" borderId="12" xfId="2" applyNumberFormat="1" applyFont="1" applyBorder="1"/>
    <xf numFmtId="0" fontId="11" fillId="0" borderId="11" xfId="2" applyFont="1" applyBorder="1" applyAlignment="1">
      <alignment horizontal="right"/>
    </xf>
    <xf numFmtId="49" fontId="11" fillId="6" borderId="10" xfId="2" applyNumberFormat="1" applyFont="1" applyFill="1" applyBorder="1"/>
    <xf numFmtId="49" fontId="11" fillId="6" borderId="10" xfId="2" applyNumberFormat="1" applyFont="1" applyFill="1" applyBorder="1" applyAlignment="1">
      <alignment horizontal="right"/>
    </xf>
    <xf numFmtId="49" fontId="11" fillId="6" borderId="11" xfId="2" applyNumberFormat="1" applyFont="1" applyFill="1" applyBorder="1" applyAlignment="1">
      <alignment horizontal="right"/>
    </xf>
    <xf numFmtId="0" fontId="11" fillId="0" borderId="10" xfId="0" applyFont="1" applyBorder="1"/>
    <xf numFmtId="0" fontId="12" fillId="14" borderId="10" xfId="2" applyFont="1" applyFill="1" applyBorder="1"/>
    <xf numFmtId="49" fontId="11" fillId="7" borderId="10" xfId="2" applyNumberFormat="1" applyFont="1" applyFill="1" applyBorder="1"/>
    <xf numFmtId="49" fontId="12" fillId="3" borderId="0" xfId="2" applyNumberFormat="1" applyFont="1" applyFill="1"/>
    <xf numFmtId="49" fontId="12" fillId="0" borderId="10" xfId="2" applyNumberFormat="1" applyFont="1" applyBorder="1"/>
    <xf numFmtId="49" fontId="12" fillId="3" borderId="12" xfId="2" applyNumberFormat="1" applyFont="1" applyFill="1" applyBorder="1"/>
    <xf numFmtId="0" fontId="12" fillId="9" borderId="11" xfId="2" applyFont="1" applyFill="1" applyBorder="1" applyAlignment="1">
      <alignment horizontal="right"/>
    </xf>
    <xf numFmtId="49" fontId="12" fillId="3" borderId="10" xfId="2" applyNumberFormat="1" applyFont="1" applyFill="1" applyBorder="1"/>
    <xf numFmtId="0" fontId="12" fillId="9" borderId="10" xfId="2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8" fillId="15" borderId="4" xfId="2" applyFont="1" applyFill="1" applyBorder="1"/>
    <xf numFmtId="0" fontId="8" fillId="15" borderId="5" xfId="2" applyFont="1" applyFill="1" applyBorder="1"/>
    <xf numFmtId="0" fontId="8" fillId="15" borderId="5" xfId="0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 wrapText="1"/>
    </xf>
    <xf numFmtId="0" fontId="18" fillId="15" borderId="4" xfId="0" applyFont="1" applyFill="1" applyBorder="1" applyAlignment="1">
      <alignment horizontal="left"/>
    </xf>
    <xf numFmtId="2" fontId="18" fillId="15" borderId="5" xfId="0" applyNumberFormat="1" applyFont="1" applyFill="1" applyBorder="1"/>
    <xf numFmtId="10" fontId="18" fillId="15" borderId="5" xfId="1" applyNumberFormat="1" applyFont="1" applyFill="1" applyBorder="1"/>
    <xf numFmtId="0" fontId="8" fillId="15" borderId="10" xfId="2" applyFont="1" applyFill="1" applyBorder="1"/>
    <xf numFmtId="0" fontId="24" fillId="16" borderId="14" xfId="2" applyFont="1" applyFill="1" applyBorder="1"/>
    <xf numFmtId="49" fontId="8" fillId="17" borderId="12" xfId="2" applyNumberFormat="1" applyFont="1" applyFill="1" applyBorder="1"/>
    <xf numFmtId="49" fontId="8" fillId="17" borderId="11" xfId="2" applyNumberFormat="1" applyFont="1" applyFill="1" applyBorder="1"/>
    <xf numFmtId="0" fontId="8" fillId="17" borderId="10" xfId="2" applyFont="1" applyFill="1" applyBorder="1"/>
    <xf numFmtId="2" fontId="8" fillId="17" borderId="10" xfId="2" applyNumberFormat="1" applyFont="1" applyFill="1" applyBorder="1"/>
    <xf numFmtId="10" fontId="8" fillId="17" borderId="10" xfId="1" applyNumberFormat="1" applyFont="1" applyFill="1" applyBorder="1"/>
    <xf numFmtId="2" fontId="9" fillId="18" borderId="10" xfId="0" applyNumberFormat="1" applyFont="1" applyFill="1" applyBorder="1"/>
    <xf numFmtId="1" fontId="9" fillId="18" borderId="10" xfId="0" applyNumberFormat="1" applyFont="1" applyFill="1" applyBorder="1"/>
    <xf numFmtId="0" fontId="10" fillId="18" borderId="10" xfId="2" applyFont="1" applyFill="1" applyBorder="1"/>
    <xf numFmtId="0" fontId="10" fillId="17" borderId="10" xfId="2" applyFont="1" applyFill="1" applyBorder="1"/>
    <xf numFmtId="2" fontId="6" fillId="18" borderId="10" xfId="0" applyNumberFormat="1" applyFont="1" applyFill="1" applyBorder="1"/>
    <xf numFmtId="0" fontId="13" fillId="19" borderId="12" xfId="2" applyFont="1" applyFill="1" applyBorder="1"/>
    <xf numFmtId="0" fontId="13" fillId="19" borderId="11" xfId="2" applyFont="1" applyFill="1" applyBorder="1"/>
    <xf numFmtId="0" fontId="14" fillId="19" borderId="10" xfId="2" applyFont="1" applyFill="1" applyBorder="1"/>
    <xf numFmtId="2" fontId="14" fillId="19" borderId="10" xfId="2" applyNumberFormat="1" applyFont="1" applyFill="1" applyBorder="1"/>
    <xf numFmtId="10" fontId="14" fillId="19" borderId="10" xfId="1" applyNumberFormat="1" applyFont="1" applyFill="1" applyBorder="1"/>
    <xf numFmtId="2" fontId="15" fillId="19" borderId="10" xfId="0" applyNumberFormat="1" applyFont="1" applyFill="1" applyBorder="1"/>
    <xf numFmtId="49" fontId="13" fillId="19" borderId="11" xfId="2" applyNumberFormat="1" applyFont="1" applyFill="1" applyBorder="1"/>
    <xf numFmtId="1" fontId="15" fillId="19" borderId="10" xfId="0" applyNumberFormat="1" applyFont="1" applyFill="1" applyBorder="1"/>
    <xf numFmtId="49" fontId="13" fillId="19" borderId="12" xfId="2" applyNumberFormat="1" applyFont="1" applyFill="1" applyBorder="1"/>
    <xf numFmtId="2" fontId="5" fillId="20" borderId="10" xfId="0" applyNumberFormat="1" applyFont="1" applyFill="1" applyBorder="1"/>
    <xf numFmtId="10" fontId="5" fillId="20" borderId="10" xfId="1" applyNumberFormat="1" applyFont="1" applyFill="1" applyBorder="1"/>
    <xf numFmtId="1" fontId="5" fillId="20" borderId="10" xfId="0" applyNumberFormat="1" applyFont="1" applyFill="1" applyBorder="1"/>
    <xf numFmtId="1" fontId="5" fillId="21" borderId="10" xfId="0" applyNumberFormat="1" applyFont="1" applyFill="1" applyBorder="1"/>
    <xf numFmtId="2" fontId="5" fillId="21" borderId="10" xfId="0" applyNumberFormat="1" applyFont="1" applyFill="1" applyBorder="1"/>
    <xf numFmtId="2" fontId="3" fillId="21" borderId="10" xfId="0" applyNumberFormat="1" applyFont="1" applyFill="1" applyBorder="1"/>
    <xf numFmtId="10" fontId="3" fillId="21" borderId="10" xfId="1" applyNumberFormat="1" applyFont="1" applyFill="1" applyBorder="1"/>
    <xf numFmtId="1" fontId="3" fillId="21" borderId="10" xfId="0" applyNumberFormat="1" applyFont="1" applyFill="1" applyBorder="1"/>
    <xf numFmtId="0" fontId="8" fillId="5" borderId="7" xfId="2" applyFont="1" applyFill="1" applyBorder="1" applyAlignment="1">
      <alignment horizontal="left"/>
    </xf>
    <xf numFmtId="0" fontId="8" fillId="5" borderId="8" xfId="2" applyFont="1" applyFill="1" applyBorder="1" applyAlignment="1">
      <alignment horizontal="left"/>
    </xf>
    <xf numFmtId="0" fontId="8" fillId="5" borderId="9" xfId="2" applyFont="1" applyFill="1" applyBorder="1" applyAlignment="1">
      <alignment horizontal="left"/>
    </xf>
    <xf numFmtId="0" fontId="24" fillId="16" borderId="14" xfId="2" applyFont="1" applyFill="1" applyBorder="1"/>
    <xf numFmtId="0" fontId="24" fillId="16" borderId="15" xfId="2" applyFont="1" applyFill="1" applyBorder="1"/>
    <xf numFmtId="0" fontId="24" fillId="16" borderId="16" xfId="2" applyFont="1" applyFill="1" applyBorder="1"/>
    <xf numFmtId="0" fontId="18" fillId="15" borderId="4" xfId="0" applyFont="1" applyFill="1" applyBorder="1" applyAlignment="1">
      <alignment horizontal="left"/>
    </xf>
    <xf numFmtId="0" fontId="18" fillId="15" borderId="5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15" borderId="17" xfId="0" applyFont="1" applyFill="1" applyBorder="1" applyAlignment="1">
      <alignment horizontal="center" wrapText="1"/>
    </xf>
    <xf numFmtId="10" fontId="23" fillId="13" borderId="10" xfId="1" applyNumberFormat="1" applyFont="1" applyFill="1" applyBorder="1"/>
  </cellXfs>
  <cellStyles count="3">
    <cellStyle name="Excel Built-in Normal" xfId="2" xr:uid="{50E61302-72C6-4D5C-B9B3-0569EA5466F5}"/>
    <cellStyle name="Normálna" xfId="0" builtinId="0"/>
    <cellStyle name="Percentá" xfId="1" builtinId="5"/>
  </cellStyles>
  <dxfs count="0"/>
  <tableStyles count="0" defaultTableStyle="TableStyleMedium2" defaultPivotStyle="PivotStyleLight16"/>
  <colors>
    <mruColors>
      <color rgb="FFBA9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0</xdr:colOff>
      <xdr:row>2</xdr:row>
      <xdr:rowOff>142875</xdr:rowOff>
    </xdr:to>
    <xdr:pic>
      <xdr:nvPicPr>
        <xdr:cNvPr id="2" name="Obrázok 1" descr="Lendak">
          <a:extLst>
            <a:ext uri="{FF2B5EF4-FFF2-40B4-BE49-F238E27FC236}">
              <a16:creationId xmlns:a16="http://schemas.microsoft.com/office/drawing/2014/main" id="{AACB009E-1F0F-4E01-AA3A-A7F3961A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9525"/>
          <a:ext cx="62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92DB-2511-42DB-8089-E23E774C862B}">
  <dimension ref="A1:M181"/>
  <sheetViews>
    <sheetView tabSelected="1" zoomScale="90" zoomScaleNormal="90" workbookViewId="0">
      <pane ySplit="6" topLeftCell="A7" activePane="bottomLeft" state="frozen"/>
      <selection pane="bottomLeft" activeCell="E174" sqref="E174:H174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3" style="2" customWidth="1"/>
    <col min="4" max="4" width="51.85546875" style="2" bestFit="1" customWidth="1"/>
    <col min="5" max="8" width="14.85546875" style="2" customWidth="1"/>
    <col min="9" max="9" width="14.7109375" style="2" customWidth="1"/>
    <col min="10" max="10" width="11" style="2" bestFit="1" customWidth="1"/>
    <col min="11" max="11" width="12.7109375" style="2" bestFit="1" customWidth="1"/>
    <col min="12" max="13" width="13.85546875" style="2" bestFit="1" customWidth="1"/>
    <col min="14" max="14" width="13.28515625" style="2" bestFit="1" customWidth="1"/>
    <col min="15" max="15" width="12.7109375" style="2" bestFit="1" customWidth="1"/>
    <col min="16" max="16384" width="9.140625" style="2"/>
  </cols>
  <sheetData>
    <row r="1" spans="1:13" ht="25.5" x14ac:dyDescent="0.35">
      <c r="A1" s="1"/>
      <c r="B1" s="115" t="s">
        <v>149</v>
      </c>
      <c r="C1" s="115"/>
      <c r="D1" s="115"/>
      <c r="E1" s="115"/>
      <c r="F1" s="115"/>
      <c r="G1" s="115"/>
      <c r="H1" s="115"/>
      <c r="I1" s="115"/>
      <c r="J1" s="115"/>
    </row>
    <row r="2" spans="1:13" x14ac:dyDescent="0.25">
      <c r="A2" s="3"/>
      <c r="B2" s="116" t="s">
        <v>0</v>
      </c>
      <c r="C2" s="116"/>
      <c r="D2" s="116"/>
      <c r="E2" s="116"/>
      <c r="F2" s="116"/>
      <c r="G2" s="116"/>
      <c r="H2" s="116"/>
      <c r="I2" s="116"/>
      <c r="J2" s="116"/>
    </row>
    <row r="3" spans="1:13" x14ac:dyDescent="0.25">
      <c r="A3" s="4"/>
      <c r="B3" s="4"/>
      <c r="C3" s="4"/>
      <c r="D3" s="5"/>
      <c r="E3" s="4"/>
      <c r="F3" s="4"/>
      <c r="G3" s="4"/>
      <c r="H3" s="4"/>
      <c r="I3" s="4"/>
      <c r="J3" s="4"/>
    </row>
    <row r="4" spans="1:13" ht="6" customHeight="1" x14ac:dyDescent="0.25">
      <c r="A4" s="4"/>
      <c r="B4" s="4"/>
      <c r="C4" s="4"/>
      <c r="D4" s="5"/>
      <c r="E4" s="4"/>
      <c r="F4" s="4"/>
      <c r="G4" s="4"/>
      <c r="H4" s="4"/>
      <c r="I4" s="4"/>
      <c r="J4" s="4"/>
    </row>
    <row r="5" spans="1:13" ht="15.75" thickBot="1" x14ac:dyDescent="0.3">
      <c r="A5" s="6"/>
      <c r="B5" s="6" t="s">
        <v>1</v>
      </c>
      <c r="C5" s="4"/>
      <c r="D5" s="5"/>
      <c r="E5" s="7" t="s">
        <v>2</v>
      </c>
      <c r="F5" s="8"/>
      <c r="G5" s="8"/>
      <c r="H5" s="8"/>
      <c r="I5" s="117" t="s">
        <v>3</v>
      </c>
      <c r="J5" s="118"/>
    </row>
    <row r="6" spans="1:13" ht="27" thickBot="1" x14ac:dyDescent="0.3">
      <c r="A6" s="66" t="s">
        <v>4</v>
      </c>
      <c r="B6" s="66" t="s">
        <v>5</v>
      </c>
      <c r="C6" s="67" t="s">
        <v>6</v>
      </c>
      <c r="D6" s="67" t="s">
        <v>7</v>
      </c>
      <c r="E6" s="68" t="s">
        <v>8</v>
      </c>
      <c r="F6" s="119" t="s">
        <v>150</v>
      </c>
      <c r="G6" s="119" t="s">
        <v>151</v>
      </c>
      <c r="H6" s="119" t="s">
        <v>152</v>
      </c>
      <c r="I6" s="69" t="s">
        <v>9</v>
      </c>
      <c r="J6" s="69" t="s">
        <v>10</v>
      </c>
    </row>
    <row r="7" spans="1:13" x14ac:dyDescent="0.25">
      <c r="A7" s="112" t="s">
        <v>11</v>
      </c>
      <c r="B7" s="113"/>
      <c r="C7" s="113"/>
      <c r="D7" s="114"/>
      <c r="E7" s="9"/>
      <c r="F7" s="9"/>
      <c r="G7" s="9"/>
      <c r="H7" s="9"/>
      <c r="I7" s="9"/>
      <c r="J7" s="9"/>
    </row>
    <row r="8" spans="1:13" x14ac:dyDescent="0.25">
      <c r="A8" s="82"/>
      <c r="B8" s="82" t="s">
        <v>12</v>
      </c>
      <c r="C8" s="83"/>
      <c r="D8" s="83" t="s">
        <v>13</v>
      </c>
      <c r="E8" s="83"/>
      <c r="F8" s="83"/>
      <c r="G8" s="83"/>
      <c r="H8" s="83"/>
      <c r="I8" s="83"/>
      <c r="J8" s="84"/>
    </row>
    <row r="9" spans="1:13" x14ac:dyDescent="0.25">
      <c r="A9" s="10">
        <v>41</v>
      </c>
      <c r="B9" s="10"/>
      <c r="C9" s="10">
        <v>312007</v>
      </c>
      <c r="D9" s="11" t="s">
        <v>14</v>
      </c>
      <c r="E9" s="99">
        <v>181652.625</v>
      </c>
      <c r="F9" s="99"/>
      <c r="G9" s="99"/>
      <c r="H9" s="99">
        <f>SUM(E9:G9)</f>
        <v>181652.625</v>
      </c>
      <c r="I9" s="99">
        <v>90822</v>
      </c>
      <c r="J9" s="100">
        <f>I9/H9</f>
        <v>0.49997625963291198</v>
      </c>
      <c r="M9" s="12"/>
    </row>
    <row r="10" spans="1:13" x14ac:dyDescent="0.25">
      <c r="A10" s="10">
        <v>41</v>
      </c>
      <c r="B10" s="10"/>
      <c r="C10" s="10">
        <v>312007</v>
      </c>
      <c r="D10" s="11" t="s">
        <v>15</v>
      </c>
      <c r="E10" s="99">
        <v>145910.29999999999</v>
      </c>
      <c r="F10" s="99"/>
      <c r="G10" s="99"/>
      <c r="H10" s="99">
        <f t="shared" ref="H10:H16" si="0">SUM(E10:G10)</f>
        <v>145910.29999999999</v>
      </c>
      <c r="I10" s="99">
        <v>72954</v>
      </c>
      <c r="J10" s="100">
        <f t="shared" ref="J10:J12" si="1">I10/H10</f>
        <v>0.49999211844537367</v>
      </c>
      <c r="M10" s="12"/>
    </row>
    <row r="11" spans="1:13" x14ac:dyDescent="0.25">
      <c r="A11" s="10">
        <v>41</v>
      </c>
      <c r="B11" s="10"/>
      <c r="C11" s="10">
        <v>312007</v>
      </c>
      <c r="D11" s="11" t="s">
        <v>16</v>
      </c>
      <c r="E11" s="99">
        <v>2000</v>
      </c>
      <c r="F11" s="99"/>
      <c r="G11" s="99"/>
      <c r="H11" s="99">
        <f t="shared" si="0"/>
        <v>2000</v>
      </c>
      <c r="I11" s="99">
        <v>1000</v>
      </c>
      <c r="J11" s="100">
        <f t="shared" si="1"/>
        <v>0.5</v>
      </c>
      <c r="M11" s="12"/>
    </row>
    <row r="12" spans="1:13" x14ac:dyDescent="0.25">
      <c r="A12" s="10">
        <v>41</v>
      </c>
      <c r="B12" s="10"/>
      <c r="C12" s="10">
        <v>312007</v>
      </c>
      <c r="D12" s="11" t="s">
        <v>17</v>
      </c>
      <c r="E12" s="99">
        <v>115615</v>
      </c>
      <c r="F12" s="99"/>
      <c r="G12" s="99"/>
      <c r="H12" s="99">
        <f t="shared" si="0"/>
        <v>115615</v>
      </c>
      <c r="I12" s="99">
        <v>57804</v>
      </c>
      <c r="J12" s="100">
        <f t="shared" si="1"/>
        <v>0.49996972711153398</v>
      </c>
      <c r="K12"/>
      <c r="M12" s="12"/>
    </row>
    <row r="13" spans="1:13" x14ac:dyDescent="0.25">
      <c r="A13" s="10">
        <v>41</v>
      </c>
      <c r="B13" s="10"/>
      <c r="C13" s="13">
        <v>322005</v>
      </c>
      <c r="D13" s="10" t="s">
        <v>18</v>
      </c>
      <c r="E13" s="96">
        <v>35000</v>
      </c>
      <c r="F13" s="96"/>
      <c r="G13" s="96"/>
      <c r="H13" s="94">
        <f t="shared" si="0"/>
        <v>35000</v>
      </c>
      <c r="I13" s="94">
        <v>1000</v>
      </c>
      <c r="J13" s="95">
        <f>I13/H13</f>
        <v>2.8571428571428571E-2</v>
      </c>
      <c r="K13"/>
      <c r="M13" s="12"/>
    </row>
    <row r="14" spans="1:13" x14ac:dyDescent="0.25">
      <c r="A14" s="10">
        <v>41</v>
      </c>
      <c r="B14" s="10"/>
      <c r="C14" s="13">
        <v>322005</v>
      </c>
      <c r="D14" s="10" t="s">
        <v>19</v>
      </c>
      <c r="E14" s="96"/>
      <c r="F14" s="96"/>
      <c r="G14" s="96"/>
      <c r="H14" s="94">
        <f t="shared" si="0"/>
        <v>0</v>
      </c>
      <c r="I14" s="94">
        <v>0</v>
      </c>
      <c r="J14" s="95"/>
      <c r="M14" s="12"/>
    </row>
    <row r="15" spans="1:13" x14ac:dyDescent="0.25">
      <c r="A15" s="10">
        <v>41</v>
      </c>
      <c r="B15" s="10"/>
      <c r="C15" s="13">
        <v>322005</v>
      </c>
      <c r="D15" s="10" t="s">
        <v>20</v>
      </c>
      <c r="E15" s="96">
        <v>30000</v>
      </c>
      <c r="F15" s="96"/>
      <c r="G15" s="96"/>
      <c r="H15" s="94">
        <f t="shared" si="0"/>
        <v>30000</v>
      </c>
      <c r="I15" s="94">
        <v>1000</v>
      </c>
      <c r="J15" s="95">
        <f t="shared" ref="J14:J15" si="2">I15/H15</f>
        <v>3.3333333333333333E-2</v>
      </c>
      <c r="K15"/>
      <c r="M15" s="12"/>
    </row>
    <row r="16" spans="1:13" x14ac:dyDescent="0.25">
      <c r="A16" s="14">
        <v>41</v>
      </c>
      <c r="B16" s="10"/>
      <c r="C16" s="15">
        <v>453</v>
      </c>
      <c r="D16" s="16" t="s">
        <v>21</v>
      </c>
      <c r="E16" s="17">
        <v>0</v>
      </c>
      <c r="F16" s="18">
        <v>25427.39</v>
      </c>
      <c r="G16" s="17"/>
      <c r="H16" s="18">
        <f t="shared" si="0"/>
        <v>25427.39</v>
      </c>
      <c r="I16" s="18">
        <v>25427.390000000003</v>
      </c>
      <c r="J16" s="19">
        <f>I16/H16</f>
        <v>1.0000000000000002</v>
      </c>
      <c r="M16" s="12"/>
    </row>
    <row r="17" spans="1:13" x14ac:dyDescent="0.25">
      <c r="A17" s="85" t="s">
        <v>22</v>
      </c>
      <c r="B17" s="85"/>
      <c r="C17" s="86"/>
      <c r="D17" s="87" t="s">
        <v>13</v>
      </c>
      <c r="E17" s="88">
        <f>SUM(E9:E16)</f>
        <v>510177.92499999999</v>
      </c>
      <c r="F17" s="88">
        <f>SUM(F9:F16)</f>
        <v>25427.39</v>
      </c>
      <c r="G17" s="88">
        <f>SUM(G9:G16)</f>
        <v>0</v>
      </c>
      <c r="H17" s="88">
        <f>SUM(H9:H16)</f>
        <v>535605.31499999994</v>
      </c>
      <c r="I17" s="88">
        <f>SUM(I8:I16)</f>
        <v>250007.39</v>
      </c>
      <c r="J17" s="89">
        <f>I17/H17</f>
        <v>0.46677540905283965</v>
      </c>
      <c r="M17" s="12"/>
    </row>
    <row r="18" spans="1:13" x14ac:dyDescent="0.25">
      <c r="A18" s="82"/>
      <c r="B18" s="82" t="s">
        <v>12</v>
      </c>
      <c r="C18" s="83"/>
      <c r="D18" s="83" t="s">
        <v>23</v>
      </c>
      <c r="E18" s="83"/>
      <c r="F18" s="83"/>
      <c r="G18" s="83"/>
      <c r="H18" s="83"/>
      <c r="I18" s="83"/>
      <c r="J18" s="83"/>
      <c r="M18" s="12"/>
    </row>
    <row r="19" spans="1:13" x14ac:dyDescent="0.25">
      <c r="A19" s="10">
        <v>71</v>
      </c>
      <c r="B19" s="10"/>
      <c r="C19" s="20" t="s">
        <v>24</v>
      </c>
      <c r="D19" s="11" t="s">
        <v>25</v>
      </c>
      <c r="E19" s="101">
        <v>0</v>
      </c>
      <c r="F19" s="101"/>
      <c r="G19" s="101"/>
      <c r="H19" s="99">
        <f t="shared" ref="H19:H20" si="3">SUM(E19:G19)</f>
        <v>0</v>
      </c>
      <c r="I19" s="99">
        <v>0</v>
      </c>
      <c r="J19" s="100"/>
      <c r="M19" s="12"/>
    </row>
    <row r="20" spans="1:13" x14ac:dyDescent="0.25">
      <c r="A20" s="10">
        <v>71</v>
      </c>
      <c r="B20" s="10"/>
      <c r="C20" s="20" t="s">
        <v>26</v>
      </c>
      <c r="D20" s="11" t="s">
        <v>27</v>
      </c>
      <c r="E20" s="101">
        <v>36000</v>
      </c>
      <c r="F20" s="101"/>
      <c r="G20" s="101"/>
      <c r="H20" s="99">
        <f t="shared" si="3"/>
        <v>36000</v>
      </c>
      <c r="I20" s="99">
        <v>22060.499999999996</v>
      </c>
      <c r="J20" s="100">
        <f t="shared" ref="J20" si="4">I20/H20</f>
        <v>0.61279166666666651</v>
      </c>
      <c r="M20" s="12"/>
    </row>
    <row r="21" spans="1:13" x14ac:dyDescent="0.25">
      <c r="A21" s="85" t="s">
        <v>22</v>
      </c>
      <c r="B21" s="85"/>
      <c r="C21" s="86"/>
      <c r="D21" s="87" t="s">
        <v>23</v>
      </c>
      <c r="E21" s="88">
        <f>SUM(E19:E20)</f>
        <v>36000</v>
      </c>
      <c r="F21" s="88">
        <f>SUM(F19:F20)</f>
        <v>0</v>
      </c>
      <c r="G21" s="88">
        <f>SUM(G19:G20)</f>
        <v>0</v>
      </c>
      <c r="H21" s="88">
        <f>SUM(H19:H20)</f>
        <v>36000</v>
      </c>
      <c r="I21" s="90">
        <f>SUM(I19:I20)</f>
        <v>22060.499999999996</v>
      </c>
      <c r="J21" s="89">
        <f>I21/H21</f>
        <v>0.61279166666666651</v>
      </c>
      <c r="M21" s="12"/>
    </row>
    <row r="22" spans="1:13" x14ac:dyDescent="0.25">
      <c r="A22" s="102" t="s">
        <v>28</v>
      </c>
      <c r="B22" s="103"/>
      <c r="C22" s="103"/>
      <c r="D22" s="104"/>
      <c r="E22" s="21">
        <f>SUM(E21,E17)</f>
        <v>546177.92500000005</v>
      </c>
      <c r="F22" s="21">
        <f>SUM(F21,F17)</f>
        <v>25427.39</v>
      </c>
      <c r="G22" s="21">
        <f>SUM(G21,G17)</f>
        <v>0</v>
      </c>
      <c r="H22" s="21">
        <f>SUM(H21,H17)</f>
        <v>571605.31499999994</v>
      </c>
      <c r="I22" s="21">
        <f>I21+I17</f>
        <v>272067.89</v>
      </c>
      <c r="J22" s="22">
        <f>I22/H22</f>
        <v>0.47597158889259111</v>
      </c>
      <c r="M22" s="12"/>
    </row>
    <row r="23" spans="1:13" x14ac:dyDescent="0.25">
      <c r="A23" s="112" t="s">
        <v>29</v>
      </c>
      <c r="B23" s="113"/>
      <c r="C23" s="113"/>
      <c r="D23" s="114"/>
      <c r="E23" s="9"/>
      <c r="F23" s="9"/>
      <c r="G23" s="9"/>
      <c r="H23" s="9"/>
      <c r="I23" s="9"/>
      <c r="J23" s="9"/>
      <c r="M23" s="12"/>
    </row>
    <row r="24" spans="1:13" x14ac:dyDescent="0.25">
      <c r="A24" s="82"/>
      <c r="B24" s="82" t="s">
        <v>12</v>
      </c>
      <c r="C24" s="83"/>
      <c r="D24" s="83" t="s">
        <v>30</v>
      </c>
      <c r="E24" s="83"/>
      <c r="F24" s="83"/>
      <c r="G24" s="83"/>
      <c r="H24" s="83"/>
      <c r="I24" s="83"/>
      <c r="J24" s="83"/>
      <c r="M24" s="12"/>
    </row>
    <row r="25" spans="1:13" x14ac:dyDescent="0.25">
      <c r="A25" s="20" t="s">
        <v>31</v>
      </c>
      <c r="B25" s="10"/>
      <c r="C25" s="10">
        <v>322005</v>
      </c>
      <c r="D25" s="11" t="s">
        <v>32</v>
      </c>
      <c r="E25" s="96">
        <v>137818.07500000001</v>
      </c>
      <c r="F25" s="96"/>
      <c r="G25" s="96"/>
      <c r="H25" s="94">
        <f t="shared" ref="H25:H27" si="5">SUM(E25:G25)</f>
        <v>137818.07500000001</v>
      </c>
      <c r="I25" s="94">
        <f>69319.2-415.2</f>
        <v>68904</v>
      </c>
      <c r="J25" s="95">
        <f t="shared" ref="J25:J26" si="6">I25/H25</f>
        <v>0.49996344819066724</v>
      </c>
      <c r="M25" s="12"/>
    </row>
    <row r="26" spans="1:13" x14ac:dyDescent="0.25">
      <c r="A26" s="20"/>
      <c r="B26" s="10"/>
      <c r="C26" s="10">
        <v>322005</v>
      </c>
      <c r="D26" s="11" t="s">
        <v>33</v>
      </c>
      <c r="E26" s="96">
        <v>10000</v>
      </c>
      <c r="F26" s="96"/>
      <c r="G26" s="96"/>
      <c r="H26" s="94">
        <f t="shared" si="5"/>
        <v>10000</v>
      </c>
      <c r="I26" s="94">
        <v>0</v>
      </c>
      <c r="J26" s="95">
        <f t="shared" si="6"/>
        <v>0</v>
      </c>
      <c r="M26" s="12"/>
    </row>
    <row r="27" spans="1:13" x14ac:dyDescent="0.25">
      <c r="A27" s="10">
        <v>71</v>
      </c>
      <c r="B27" s="10"/>
      <c r="C27" s="23">
        <v>453</v>
      </c>
      <c r="D27" s="16" t="s">
        <v>21</v>
      </c>
      <c r="E27" s="18"/>
      <c r="F27" s="18">
        <v>629.15</v>
      </c>
      <c r="G27" s="18"/>
      <c r="H27" s="18">
        <f t="shared" si="5"/>
        <v>629.15</v>
      </c>
      <c r="I27" s="18">
        <v>629.15</v>
      </c>
      <c r="J27" s="19">
        <f>I27/H27</f>
        <v>1</v>
      </c>
      <c r="M27" s="12"/>
    </row>
    <row r="28" spans="1:13" x14ac:dyDescent="0.25">
      <c r="A28" s="85" t="s">
        <v>22</v>
      </c>
      <c r="B28" s="85"/>
      <c r="C28" s="86"/>
      <c r="D28" s="87" t="s">
        <v>13</v>
      </c>
      <c r="E28" s="88">
        <f>SUM(E25:E27)</f>
        <v>147818.07500000001</v>
      </c>
      <c r="F28" s="88">
        <f>SUM(F25:F27)</f>
        <v>629.15</v>
      </c>
      <c r="G28" s="88">
        <f>SUM(G25:G27)</f>
        <v>0</v>
      </c>
      <c r="H28" s="88">
        <f>SUM(H25:H27)</f>
        <v>148447.22500000001</v>
      </c>
      <c r="I28" s="88">
        <f>SUM(I25:I27)</f>
        <v>69533.149999999994</v>
      </c>
      <c r="J28" s="89">
        <f>I28/H28</f>
        <v>0.46840316482844319</v>
      </c>
      <c r="M28" s="12"/>
    </row>
    <row r="29" spans="1:13" x14ac:dyDescent="0.25">
      <c r="A29" s="82"/>
      <c r="B29" s="82" t="s">
        <v>12</v>
      </c>
      <c r="C29" s="83"/>
      <c r="D29" s="83" t="s">
        <v>23</v>
      </c>
      <c r="E29" s="83"/>
      <c r="F29" s="83"/>
      <c r="G29" s="83"/>
      <c r="H29" s="83"/>
      <c r="I29" s="83"/>
      <c r="J29" s="83"/>
      <c r="M29" s="12"/>
    </row>
    <row r="30" spans="1:13" s="26" customFormat="1" x14ac:dyDescent="0.25">
      <c r="A30" s="24" t="s">
        <v>34</v>
      </c>
      <c r="B30" s="25"/>
      <c r="C30" s="23">
        <v>453</v>
      </c>
      <c r="D30" s="16" t="s">
        <v>21</v>
      </c>
      <c r="E30" s="17"/>
      <c r="F30" s="18">
        <v>24889.01</v>
      </c>
      <c r="G30" s="17"/>
      <c r="H30" s="18">
        <f t="shared" ref="H30" si="7">SUM(E30:G30)</f>
        <v>24889.01</v>
      </c>
      <c r="I30" s="18">
        <v>24889.01</v>
      </c>
      <c r="J30" s="19">
        <f>I30/H30</f>
        <v>1</v>
      </c>
      <c r="M30" s="12"/>
    </row>
    <row r="31" spans="1:13" s="26" customFormat="1" x14ac:dyDescent="0.25">
      <c r="A31" s="25">
        <v>71</v>
      </c>
      <c r="B31" s="25"/>
      <c r="C31" s="23">
        <v>223001</v>
      </c>
      <c r="D31" s="16" t="s">
        <v>35</v>
      </c>
      <c r="E31" s="101">
        <v>2500</v>
      </c>
      <c r="F31" s="101"/>
      <c r="G31" s="99">
        <v>500</v>
      </c>
      <c r="H31" s="99">
        <f t="shared" ref="H31:H39" si="8">SUM(E31:G31)</f>
        <v>3000</v>
      </c>
      <c r="I31" s="99">
        <v>2482.81</v>
      </c>
      <c r="J31" s="100">
        <f t="shared" ref="J31:J39" si="9">I31/H31</f>
        <v>0.82760333333333336</v>
      </c>
      <c r="M31" s="12"/>
    </row>
    <row r="32" spans="1:13" x14ac:dyDescent="0.25">
      <c r="A32" s="25">
        <v>71</v>
      </c>
      <c r="B32" s="27"/>
      <c r="C32" s="23">
        <v>223001</v>
      </c>
      <c r="D32" s="28" t="s">
        <v>36</v>
      </c>
      <c r="E32" s="101">
        <v>120</v>
      </c>
      <c r="F32" s="101"/>
      <c r="G32" s="99">
        <v>13230</v>
      </c>
      <c r="H32" s="99">
        <f t="shared" si="8"/>
        <v>13350</v>
      </c>
      <c r="I32" s="99">
        <v>13342.09</v>
      </c>
      <c r="J32" s="100">
        <f t="shared" si="9"/>
        <v>0.99940749063670409</v>
      </c>
      <c r="M32" s="12"/>
    </row>
    <row r="33" spans="1:13" s="4" customFormat="1" x14ac:dyDescent="0.25">
      <c r="A33" s="25">
        <v>71</v>
      </c>
      <c r="B33" s="25"/>
      <c r="C33" s="23">
        <v>223001</v>
      </c>
      <c r="D33" s="29" t="s">
        <v>37</v>
      </c>
      <c r="E33" s="101">
        <v>1800</v>
      </c>
      <c r="F33" s="101"/>
      <c r="G33" s="101"/>
      <c r="H33" s="99">
        <f t="shared" si="8"/>
        <v>1800</v>
      </c>
      <c r="I33" s="99">
        <v>1562</v>
      </c>
      <c r="J33" s="100">
        <f t="shared" si="9"/>
        <v>0.86777777777777776</v>
      </c>
      <c r="M33" s="12"/>
    </row>
    <row r="34" spans="1:13" s="4" customFormat="1" x14ac:dyDescent="0.25">
      <c r="A34" s="25">
        <v>71</v>
      </c>
      <c r="B34" s="25"/>
      <c r="C34" s="23">
        <v>223001</v>
      </c>
      <c r="D34" s="29" t="s">
        <v>38</v>
      </c>
      <c r="E34" s="101">
        <v>54360</v>
      </c>
      <c r="F34" s="101"/>
      <c r="G34" s="101"/>
      <c r="H34" s="99">
        <f t="shared" si="8"/>
        <v>54360</v>
      </c>
      <c r="I34" s="99">
        <v>15981.4</v>
      </c>
      <c r="J34" s="100">
        <f t="shared" si="9"/>
        <v>0.29399190581309786</v>
      </c>
      <c r="M34" s="12"/>
    </row>
    <row r="35" spans="1:13" s="4" customFormat="1" x14ac:dyDescent="0.25">
      <c r="A35" s="25">
        <v>71</v>
      </c>
      <c r="B35" s="25"/>
      <c r="C35" s="23">
        <v>223001</v>
      </c>
      <c r="D35" s="29" t="s">
        <v>39</v>
      </c>
      <c r="E35" s="101">
        <v>3600</v>
      </c>
      <c r="F35" s="101"/>
      <c r="G35" s="101"/>
      <c r="H35" s="99">
        <f t="shared" si="8"/>
        <v>3600</v>
      </c>
      <c r="I35" s="99">
        <v>2700</v>
      </c>
      <c r="J35" s="100">
        <f t="shared" si="9"/>
        <v>0.75</v>
      </c>
      <c r="M35" s="12"/>
    </row>
    <row r="36" spans="1:13" s="4" customFormat="1" x14ac:dyDescent="0.25">
      <c r="A36" s="25">
        <v>71</v>
      </c>
      <c r="B36" s="25"/>
      <c r="C36" s="23">
        <v>223001</v>
      </c>
      <c r="D36" s="29" t="s">
        <v>40</v>
      </c>
      <c r="E36" s="101">
        <v>240</v>
      </c>
      <c r="F36" s="101"/>
      <c r="G36" s="101"/>
      <c r="H36" s="99">
        <f t="shared" si="8"/>
        <v>240</v>
      </c>
      <c r="I36" s="99">
        <v>60</v>
      </c>
      <c r="J36" s="100">
        <f t="shared" si="9"/>
        <v>0.25</v>
      </c>
      <c r="M36" s="12"/>
    </row>
    <row r="37" spans="1:13" s="4" customFormat="1" x14ac:dyDescent="0.25">
      <c r="A37" s="25">
        <v>71</v>
      </c>
      <c r="B37" s="25"/>
      <c r="C37" s="23">
        <v>223001</v>
      </c>
      <c r="D37" s="29" t="s">
        <v>41</v>
      </c>
      <c r="E37" s="101">
        <v>60</v>
      </c>
      <c r="F37" s="101"/>
      <c r="G37" s="101"/>
      <c r="H37" s="99">
        <f t="shared" si="8"/>
        <v>60</v>
      </c>
      <c r="I37" s="99">
        <v>0</v>
      </c>
      <c r="J37" s="100">
        <f t="shared" si="9"/>
        <v>0</v>
      </c>
      <c r="M37" s="12"/>
    </row>
    <row r="38" spans="1:13" s="30" customFormat="1" x14ac:dyDescent="0.25">
      <c r="A38" s="25">
        <v>71</v>
      </c>
      <c r="B38" s="10"/>
      <c r="C38" s="23">
        <v>223001</v>
      </c>
      <c r="D38" s="11" t="s">
        <v>42</v>
      </c>
      <c r="E38" s="101">
        <v>100000</v>
      </c>
      <c r="F38" s="101"/>
      <c r="G38" s="101"/>
      <c r="H38" s="99">
        <f t="shared" si="8"/>
        <v>100000</v>
      </c>
      <c r="I38" s="99">
        <v>31825.410000000003</v>
      </c>
      <c r="J38" s="100">
        <f t="shared" si="9"/>
        <v>0.31825410000000004</v>
      </c>
      <c r="M38" s="12"/>
    </row>
    <row r="39" spans="1:13" x14ac:dyDescent="0.25">
      <c r="A39" s="25">
        <v>71</v>
      </c>
      <c r="B39" s="10"/>
      <c r="C39" s="20">
        <v>292</v>
      </c>
      <c r="D39" s="11" t="s">
        <v>43</v>
      </c>
      <c r="E39" s="101">
        <v>2500</v>
      </c>
      <c r="F39" s="101"/>
      <c r="G39" s="101"/>
      <c r="H39" s="99">
        <f t="shared" si="8"/>
        <v>2500</v>
      </c>
      <c r="I39" s="99">
        <f>1260.99+415.2</f>
        <v>1676.19</v>
      </c>
      <c r="J39" s="100">
        <f t="shared" si="9"/>
        <v>0.67047600000000007</v>
      </c>
      <c r="M39" s="12"/>
    </row>
    <row r="40" spans="1:13" x14ac:dyDescent="0.25">
      <c r="A40" s="85" t="s">
        <v>22</v>
      </c>
      <c r="B40" s="85"/>
      <c r="C40" s="86"/>
      <c r="D40" s="87" t="s">
        <v>13</v>
      </c>
      <c r="E40" s="88">
        <f>SUM(E30:E39)</f>
        <v>165180</v>
      </c>
      <c r="F40" s="88">
        <f>SUM(F30:F39)</f>
        <v>24889.01</v>
      </c>
      <c r="G40" s="88">
        <f>SUM(G30:G39)</f>
        <v>13730</v>
      </c>
      <c r="H40" s="88">
        <f>SUM(H30:H39)</f>
        <v>203799.01</v>
      </c>
      <c r="I40" s="88">
        <f>SUM(I30:I39)</f>
        <v>94518.91</v>
      </c>
      <c r="J40" s="89">
        <f>I40/H40</f>
        <v>0.46378493202690241</v>
      </c>
      <c r="M40" s="12"/>
    </row>
    <row r="41" spans="1:13" ht="15.75" thickBot="1" x14ac:dyDescent="0.3">
      <c r="A41" s="102" t="s">
        <v>44</v>
      </c>
      <c r="B41" s="103"/>
      <c r="C41" s="103"/>
      <c r="D41" s="104"/>
      <c r="E41" s="21">
        <f>SUM(E40,E28)</f>
        <v>312998.07500000001</v>
      </c>
      <c r="F41" s="21">
        <f>SUM(F40,F28)</f>
        <v>25518.16</v>
      </c>
      <c r="G41" s="21">
        <f>SUM(G40,G28)</f>
        <v>13730</v>
      </c>
      <c r="H41" s="21">
        <f>SUM(H40,H28)</f>
        <v>352246.23499999999</v>
      </c>
      <c r="I41" s="21">
        <f t="shared" ref="E41:I41" si="10">SUM(I40,I28)</f>
        <v>164052.06</v>
      </c>
      <c r="J41" s="22">
        <f>I41/H41</f>
        <v>0.46573119511128347</v>
      </c>
      <c r="M41" s="12"/>
    </row>
    <row r="42" spans="1:13" ht="16.5" thickBot="1" x14ac:dyDescent="0.3">
      <c r="A42" s="70"/>
      <c r="B42" s="108" t="s">
        <v>45</v>
      </c>
      <c r="C42" s="109"/>
      <c r="D42" s="109"/>
      <c r="E42" s="71">
        <f>SUM(E41,E22)</f>
        <v>859176</v>
      </c>
      <c r="F42" s="71">
        <f>SUM(F41,F22)</f>
        <v>50945.55</v>
      </c>
      <c r="G42" s="71">
        <f>SUM(G41,G22)</f>
        <v>13730</v>
      </c>
      <c r="H42" s="71">
        <f>SUM(H41,H22)</f>
        <v>923851.54999999993</v>
      </c>
      <c r="I42" s="71">
        <f>I41+I22</f>
        <v>436119.95</v>
      </c>
      <c r="J42" s="72">
        <f>I42/H42</f>
        <v>0.47206713026567965</v>
      </c>
      <c r="M42" s="12"/>
    </row>
    <row r="43" spans="1:1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3" ht="8.2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13" ht="15.75" thickBot="1" x14ac:dyDescent="0.3">
      <c r="A45" s="6"/>
      <c r="B45" s="6" t="s">
        <v>46</v>
      </c>
      <c r="C45" s="4"/>
      <c r="D45" s="5"/>
      <c r="E45" s="31" t="s">
        <v>2</v>
      </c>
      <c r="F45" s="32"/>
      <c r="G45" s="32"/>
      <c r="H45" s="32"/>
      <c r="I45" s="110" t="s">
        <v>3</v>
      </c>
      <c r="J45" s="111"/>
    </row>
    <row r="46" spans="1:13" ht="27" thickBot="1" x14ac:dyDescent="0.3">
      <c r="A46" s="66" t="s">
        <v>4</v>
      </c>
      <c r="B46" s="66" t="s">
        <v>5</v>
      </c>
      <c r="C46" s="67" t="s">
        <v>6</v>
      </c>
      <c r="D46" s="73" t="s">
        <v>7</v>
      </c>
      <c r="E46" s="68" t="s">
        <v>8</v>
      </c>
      <c r="F46" s="119" t="s">
        <v>150</v>
      </c>
      <c r="G46" s="119" t="s">
        <v>151</v>
      </c>
      <c r="H46" s="119" t="s">
        <v>152</v>
      </c>
      <c r="I46" s="69" t="s">
        <v>9</v>
      </c>
      <c r="J46" s="69" t="s">
        <v>10</v>
      </c>
    </row>
    <row r="47" spans="1:13" x14ac:dyDescent="0.25">
      <c r="A47" s="112" t="s">
        <v>11</v>
      </c>
      <c r="B47" s="113"/>
      <c r="C47" s="113"/>
      <c r="D47" s="114"/>
      <c r="E47" s="9"/>
      <c r="F47" s="9"/>
      <c r="G47" s="9"/>
      <c r="H47" s="9"/>
      <c r="I47" s="9"/>
      <c r="J47" s="9"/>
    </row>
    <row r="48" spans="1:13" x14ac:dyDescent="0.25">
      <c r="A48" s="33" t="s">
        <v>47</v>
      </c>
      <c r="B48" s="33" t="s">
        <v>48</v>
      </c>
      <c r="C48" s="20" t="s">
        <v>49</v>
      </c>
      <c r="D48" s="11" t="s">
        <v>50</v>
      </c>
      <c r="E48" s="97">
        <v>65250</v>
      </c>
      <c r="F48" s="97"/>
      <c r="G48" s="97"/>
      <c r="H48" s="99">
        <f t="shared" ref="H48:H62" si="11">SUM(E48:G48)</f>
        <v>65250</v>
      </c>
      <c r="I48" s="99">
        <v>37131.449999999997</v>
      </c>
      <c r="J48" s="100">
        <f>I48/H48</f>
        <v>0.56906436781609193</v>
      </c>
      <c r="M48" s="12"/>
    </row>
    <row r="49" spans="1:13" x14ac:dyDescent="0.25">
      <c r="A49" s="33" t="s">
        <v>47</v>
      </c>
      <c r="B49" s="33" t="s">
        <v>48</v>
      </c>
      <c r="C49" s="10">
        <v>620</v>
      </c>
      <c r="D49" s="11" t="s">
        <v>51</v>
      </c>
      <c r="E49" s="97">
        <v>24109.875</v>
      </c>
      <c r="F49" s="97"/>
      <c r="G49" s="97"/>
      <c r="H49" s="99">
        <f t="shared" si="11"/>
        <v>24109.875</v>
      </c>
      <c r="I49" s="99">
        <v>13453.01</v>
      </c>
      <c r="J49" s="100">
        <f t="shared" ref="J49:J60" si="12">I49/H49</f>
        <v>0.5579875465965709</v>
      </c>
      <c r="M49" s="12"/>
    </row>
    <row r="50" spans="1:13" x14ac:dyDescent="0.25">
      <c r="A50" s="33" t="s">
        <v>47</v>
      </c>
      <c r="B50" s="33" t="s">
        <v>48</v>
      </c>
      <c r="C50" s="10">
        <v>640</v>
      </c>
      <c r="D50" s="11" t="s">
        <v>52</v>
      </c>
      <c r="E50" s="97">
        <v>600</v>
      </c>
      <c r="F50" s="97"/>
      <c r="G50" s="97"/>
      <c r="H50" s="99">
        <f t="shared" si="11"/>
        <v>600</v>
      </c>
      <c r="I50" s="99">
        <v>314.68</v>
      </c>
      <c r="J50" s="100">
        <f t="shared" si="12"/>
        <v>0.52446666666666664</v>
      </c>
      <c r="M50" s="12"/>
    </row>
    <row r="51" spans="1:13" x14ac:dyDescent="0.25">
      <c r="A51" s="33" t="s">
        <v>47</v>
      </c>
      <c r="B51" s="33" t="s">
        <v>48</v>
      </c>
      <c r="C51" s="20" t="s">
        <v>53</v>
      </c>
      <c r="D51" s="11" t="s">
        <v>54</v>
      </c>
      <c r="E51" s="97">
        <v>1000</v>
      </c>
      <c r="F51" s="97"/>
      <c r="G51" s="97"/>
      <c r="H51" s="99">
        <f t="shared" si="11"/>
        <v>1000</v>
      </c>
      <c r="I51" s="99">
        <f>798.99+19.94</f>
        <v>818.93000000000006</v>
      </c>
      <c r="J51" s="100">
        <f t="shared" si="12"/>
        <v>0.81893000000000005</v>
      </c>
      <c r="L51" s="34"/>
      <c r="M51" s="12"/>
    </row>
    <row r="52" spans="1:13" x14ac:dyDescent="0.25">
      <c r="A52" s="33" t="s">
        <v>47</v>
      </c>
      <c r="B52" s="33" t="s">
        <v>48</v>
      </c>
      <c r="C52" s="20" t="s">
        <v>55</v>
      </c>
      <c r="D52" s="11" t="s">
        <v>56</v>
      </c>
      <c r="E52" s="97">
        <v>75</v>
      </c>
      <c r="F52" s="97"/>
      <c r="G52" s="97"/>
      <c r="H52" s="99">
        <f t="shared" si="11"/>
        <v>75</v>
      </c>
      <c r="I52" s="99">
        <v>72</v>
      </c>
      <c r="J52" s="100">
        <f t="shared" si="12"/>
        <v>0.96</v>
      </c>
      <c r="L52"/>
      <c r="M52" s="12"/>
    </row>
    <row r="53" spans="1:13" x14ac:dyDescent="0.25">
      <c r="A53" s="33" t="s">
        <v>47</v>
      </c>
      <c r="B53" s="33" t="s">
        <v>48</v>
      </c>
      <c r="C53" s="20" t="s">
        <v>57</v>
      </c>
      <c r="D53" s="11" t="s">
        <v>58</v>
      </c>
      <c r="E53" s="97">
        <v>800</v>
      </c>
      <c r="F53" s="97"/>
      <c r="G53" s="97"/>
      <c r="H53" s="99">
        <f t="shared" si="11"/>
        <v>800</v>
      </c>
      <c r="I53" s="99">
        <v>0</v>
      </c>
      <c r="J53" s="100">
        <f t="shared" si="12"/>
        <v>0</v>
      </c>
      <c r="M53" s="12"/>
    </row>
    <row r="54" spans="1:13" x14ac:dyDescent="0.25">
      <c r="A54" s="33" t="s">
        <v>47</v>
      </c>
      <c r="B54" s="33" t="s">
        <v>48</v>
      </c>
      <c r="C54" s="20" t="s">
        <v>59</v>
      </c>
      <c r="D54" s="11" t="s">
        <v>60</v>
      </c>
      <c r="E54" s="97">
        <v>2500</v>
      </c>
      <c r="F54" s="97"/>
      <c r="G54" s="97"/>
      <c r="H54" s="99">
        <f t="shared" si="11"/>
        <v>2500</v>
      </c>
      <c r="I54" s="99">
        <v>1383.1799999999998</v>
      </c>
      <c r="J54" s="100">
        <f t="shared" si="12"/>
        <v>0.55327199999999999</v>
      </c>
      <c r="L54"/>
      <c r="M54" s="12"/>
    </row>
    <row r="55" spans="1:13" x14ac:dyDescent="0.25">
      <c r="A55" s="33" t="s">
        <v>47</v>
      </c>
      <c r="B55" s="33" t="s">
        <v>48</v>
      </c>
      <c r="C55" s="10">
        <v>637014</v>
      </c>
      <c r="D55" s="11" t="s">
        <v>61</v>
      </c>
      <c r="E55" s="97">
        <v>3500</v>
      </c>
      <c r="F55" s="97"/>
      <c r="G55" s="97"/>
      <c r="H55" s="99">
        <f t="shared" si="11"/>
        <v>3500</v>
      </c>
      <c r="I55" s="99">
        <v>3877.1000000000013</v>
      </c>
      <c r="J55" s="100">
        <f t="shared" si="12"/>
        <v>1.1077428571428576</v>
      </c>
      <c r="L55"/>
      <c r="M55" s="12"/>
    </row>
    <row r="56" spans="1:13" x14ac:dyDescent="0.25">
      <c r="A56" s="33" t="s">
        <v>47</v>
      </c>
      <c r="B56" s="33" t="s">
        <v>48</v>
      </c>
      <c r="C56" s="10">
        <v>637016</v>
      </c>
      <c r="D56" s="11" t="s">
        <v>62</v>
      </c>
      <c r="E56" s="97">
        <v>717.75</v>
      </c>
      <c r="F56" s="97"/>
      <c r="G56" s="97"/>
      <c r="H56" s="99">
        <f t="shared" si="11"/>
        <v>717.75</v>
      </c>
      <c r="I56" s="99">
        <v>365.36</v>
      </c>
      <c r="J56" s="100">
        <f t="shared" si="12"/>
        <v>0.50903517938000697</v>
      </c>
      <c r="L56"/>
      <c r="M56" s="12"/>
    </row>
    <row r="57" spans="1:13" x14ac:dyDescent="0.25">
      <c r="A57" s="33" t="s">
        <v>47</v>
      </c>
      <c r="B57" s="33" t="s">
        <v>48</v>
      </c>
      <c r="C57" s="10" t="s">
        <v>63</v>
      </c>
      <c r="D57" s="11" t="s">
        <v>64</v>
      </c>
      <c r="E57" s="97">
        <v>2000</v>
      </c>
      <c r="F57" s="97"/>
      <c r="G57" s="98">
        <v>100</v>
      </c>
      <c r="H57" s="99">
        <f t="shared" si="11"/>
        <v>2100</v>
      </c>
      <c r="I57" s="99">
        <v>2043.3200000000002</v>
      </c>
      <c r="J57" s="100">
        <f t="shared" si="12"/>
        <v>0.97300952380952388</v>
      </c>
      <c r="L57"/>
      <c r="M57" s="12"/>
    </row>
    <row r="58" spans="1:13" x14ac:dyDescent="0.25">
      <c r="A58" s="33" t="s">
        <v>47</v>
      </c>
      <c r="B58" s="33" t="s">
        <v>48</v>
      </c>
      <c r="C58" s="10">
        <v>630</v>
      </c>
      <c r="D58" s="11" t="s">
        <v>65</v>
      </c>
      <c r="E58" s="97">
        <v>4100</v>
      </c>
      <c r="F58" s="97"/>
      <c r="G58" s="97"/>
      <c r="H58" s="99">
        <f t="shared" si="11"/>
        <v>4100</v>
      </c>
      <c r="I58" s="99">
        <f>2742.35-19.94</f>
        <v>2722.41</v>
      </c>
      <c r="J58" s="100">
        <f t="shared" si="12"/>
        <v>0.66400243902439016</v>
      </c>
      <c r="L58"/>
      <c r="M58" s="12"/>
    </row>
    <row r="59" spans="1:13" x14ac:dyDescent="0.25">
      <c r="A59" s="75"/>
      <c r="B59" s="75"/>
      <c r="C59" s="76"/>
      <c r="D59" s="77" t="s">
        <v>66</v>
      </c>
      <c r="E59" s="80"/>
      <c r="F59" s="80"/>
      <c r="G59" s="80"/>
      <c r="H59" s="80"/>
      <c r="I59" s="81"/>
      <c r="J59" s="80"/>
      <c r="L59"/>
      <c r="M59" s="12"/>
    </row>
    <row r="60" spans="1:13" x14ac:dyDescent="0.25">
      <c r="A60" s="33" t="s">
        <v>47</v>
      </c>
      <c r="B60" s="33" t="s">
        <v>67</v>
      </c>
      <c r="C60" s="10">
        <v>630</v>
      </c>
      <c r="D60" s="35" t="s">
        <v>68</v>
      </c>
      <c r="E60" s="97">
        <v>4000</v>
      </c>
      <c r="F60" s="97"/>
      <c r="G60" s="97"/>
      <c r="H60" s="99">
        <f t="shared" si="11"/>
        <v>4000</v>
      </c>
      <c r="I60" s="99">
        <v>16.87</v>
      </c>
      <c r="J60" s="100">
        <f t="shared" si="12"/>
        <v>4.2174999999999999E-3</v>
      </c>
      <c r="L60"/>
      <c r="M60" s="12"/>
    </row>
    <row r="61" spans="1:13" x14ac:dyDescent="0.25">
      <c r="A61" s="33" t="s">
        <v>47</v>
      </c>
      <c r="B61" s="33" t="s">
        <v>67</v>
      </c>
      <c r="C61" s="10">
        <v>630</v>
      </c>
      <c r="D61" s="36" t="s">
        <v>69</v>
      </c>
      <c r="E61" s="97">
        <v>0</v>
      </c>
      <c r="F61" s="97"/>
      <c r="G61" s="97"/>
      <c r="H61" s="99">
        <f t="shared" si="11"/>
        <v>0</v>
      </c>
      <c r="I61" s="99">
        <v>0</v>
      </c>
      <c r="J61" s="100"/>
      <c r="L61"/>
      <c r="M61" s="12"/>
    </row>
    <row r="62" spans="1:13" x14ac:dyDescent="0.25">
      <c r="A62" s="33" t="s">
        <v>47</v>
      </c>
      <c r="B62" s="33" t="s">
        <v>67</v>
      </c>
      <c r="C62" s="10">
        <v>630</v>
      </c>
      <c r="D62" s="36" t="s">
        <v>70</v>
      </c>
      <c r="E62" s="97">
        <v>0</v>
      </c>
      <c r="F62" s="97"/>
      <c r="G62" s="97"/>
      <c r="H62" s="99">
        <f t="shared" si="11"/>
        <v>0</v>
      </c>
      <c r="I62" s="99">
        <v>0</v>
      </c>
      <c r="J62" s="100"/>
      <c r="M62" s="12"/>
    </row>
    <row r="63" spans="1:13" x14ac:dyDescent="0.25">
      <c r="A63" s="85" t="s">
        <v>22</v>
      </c>
      <c r="B63" s="85"/>
      <c r="C63" s="86"/>
      <c r="D63" s="87" t="s">
        <v>71</v>
      </c>
      <c r="E63" s="88">
        <f>SUM(E60:E62)</f>
        <v>4000</v>
      </c>
      <c r="F63" s="88">
        <f>SUM(F60:F62)</f>
        <v>0</v>
      </c>
      <c r="G63" s="88">
        <f>SUM(G60:G62)</f>
        <v>0</v>
      </c>
      <c r="H63" s="88">
        <f>SUM(H60:H62)</f>
        <v>4000</v>
      </c>
      <c r="I63" s="88">
        <f t="shared" ref="E63:I63" si="13">SUM(I60:I62)</f>
        <v>16.87</v>
      </c>
      <c r="J63" s="89">
        <f>I63/H63</f>
        <v>4.2174999999999999E-3</v>
      </c>
      <c r="M63" s="12"/>
    </row>
    <row r="64" spans="1:13" x14ac:dyDescent="0.25">
      <c r="A64" s="75"/>
      <c r="B64" s="75"/>
      <c r="C64" s="76"/>
      <c r="D64" s="77" t="s">
        <v>72</v>
      </c>
      <c r="E64" s="80"/>
      <c r="F64" s="80"/>
      <c r="G64" s="80"/>
      <c r="H64" s="80"/>
      <c r="I64" s="81"/>
      <c r="J64" s="80"/>
      <c r="M64" s="12"/>
    </row>
    <row r="65" spans="1:13" s="37" customFormat="1" x14ac:dyDescent="0.25">
      <c r="A65" s="33" t="s">
        <v>47</v>
      </c>
      <c r="B65" s="33" t="s">
        <v>73</v>
      </c>
      <c r="C65" s="10">
        <v>630</v>
      </c>
      <c r="D65" s="11" t="s">
        <v>74</v>
      </c>
      <c r="E65" s="97">
        <v>0</v>
      </c>
      <c r="F65" s="97"/>
      <c r="G65" s="97"/>
      <c r="H65" s="99">
        <f t="shared" ref="H65:H68" si="14">SUM(E65:G65)</f>
        <v>0</v>
      </c>
      <c r="I65" s="99">
        <v>0</v>
      </c>
      <c r="J65" s="100"/>
      <c r="M65" s="12"/>
    </row>
    <row r="66" spans="1:13" x14ac:dyDescent="0.25">
      <c r="A66" s="33" t="s">
        <v>47</v>
      </c>
      <c r="B66" s="33" t="s">
        <v>73</v>
      </c>
      <c r="C66" s="10">
        <v>630</v>
      </c>
      <c r="D66" s="11" t="s">
        <v>75</v>
      </c>
      <c r="E66" s="97">
        <v>0</v>
      </c>
      <c r="F66" s="97"/>
      <c r="G66" s="97"/>
      <c r="H66" s="99">
        <f t="shared" si="14"/>
        <v>0</v>
      </c>
      <c r="I66" s="99">
        <v>0</v>
      </c>
      <c r="J66" s="100"/>
      <c r="M66" s="12"/>
    </row>
    <row r="67" spans="1:13" x14ac:dyDescent="0.25">
      <c r="A67" s="33" t="s">
        <v>47</v>
      </c>
      <c r="B67" s="33" t="s">
        <v>73</v>
      </c>
      <c r="C67" s="10">
        <v>630</v>
      </c>
      <c r="D67" s="11" t="s">
        <v>76</v>
      </c>
      <c r="E67" s="97">
        <v>1500</v>
      </c>
      <c r="F67" s="97"/>
      <c r="G67" s="97"/>
      <c r="H67" s="99">
        <f t="shared" si="14"/>
        <v>1500</v>
      </c>
      <c r="I67" s="99">
        <v>189</v>
      </c>
      <c r="J67" s="100">
        <f t="shared" ref="J67" si="15">I67/H67</f>
        <v>0.126</v>
      </c>
      <c r="M67" s="12"/>
    </row>
    <row r="68" spans="1:13" x14ac:dyDescent="0.25">
      <c r="A68" s="33" t="s">
        <v>47</v>
      </c>
      <c r="B68" s="33" t="s">
        <v>73</v>
      </c>
      <c r="C68" s="10">
        <v>630</v>
      </c>
      <c r="D68" s="11" t="s">
        <v>77</v>
      </c>
      <c r="E68" s="97">
        <v>0</v>
      </c>
      <c r="F68" s="97"/>
      <c r="G68" s="97"/>
      <c r="H68" s="99">
        <f t="shared" si="14"/>
        <v>0</v>
      </c>
      <c r="I68" s="99">
        <v>0</v>
      </c>
      <c r="J68" s="100"/>
      <c r="M68" s="12"/>
    </row>
    <row r="69" spans="1:13" x14ac:dyDescent="0.25">
      <c r="A69" s="85" t="s">
        <v>22</v>
      </c>
      <c r="B69" s="85"/>
      <c r="C69" s="91"/>
      <c r="D69" s="87" t="s">
        <v>72</v>
      </c>
      <c r="E69" s="88">
        <f>SUM(E65:E68)</f>
        <v>1500</v>
      </c>
      <c r="F69" s="88">
        <f>SUM(F65:F68)</f>
        <v>0</v>
      </c>
      <c r="G69" s="88">
        <f>SUM(G65:G68)</f>
        <v>0</v>
      </c>
      <c r="H69" s="88">
        <f>SUM(H65:H68)</f>
        <v>1500</v>
      </c>
      <c r="I69" s="92">
        <f>SUM(I65:I68)</f>
        <v>189</v>
      </c>
      <c r="J69" s="89">
        <f>I69/H69</f>
        <v>0.126</v>
      </c>
    </row>
    <row r="70" spans="1:13" x14ac:dyDescent="0.25">
      <c r="A70" s="75"/>
      <c r="B70" s="75"/>
      <c r="C70" s="76"/>
      <c r="D70" s="77" t="s">
        <v>78</v>
      </c>
      <c r="E70" s="80"/>
      <c r="F70" s="80"/>
      <c r="G70" s="80"/>
      <c r="H70" s="80"/>
      <c r="I70" s="81"/>
      <c r="J70" s="80"/>
    </row>
    <row r="71" spans="1:13" s="37" customFormat="1" x14ac:dyDescent="0.25">
      <c r="A71" s="33" t="s">
        <v>47</v>
      </c>
      <c r="B71" s="38" t="s">
        <v>48</v>
      </c>
      <c r="C71" s="10">
        <v>630</v>
      </c>
      <c r="D71" s="39" t="s">
        <v>79</v>
      </c>
      <c r="E71" s="97">
        <f>7500+9000+2000+5000+8500</f>
        <v>32000</v>
      </c>
      <c r="F71" s="97"/>
      <c r="G71" s="97"/>
      <c r="H71" s="99">
        <f t="shared" ref="H71:H75" si="16">SUM(E71:G71)</f>
        <v>32000</v>
      </c>
      <c r="I71" s="99">
        <v>20062.38</v>
      </c>
      <c r="J71" s="100">
        <f>I71/H71</f>
        <v>0.62694937500000003</v>
      </c>
      <c r="M71" s="12"/>
    </row>
    <row r="72" spans="1:13" s="37" customFormat="1" x14ac:dyDescent="0.25">
      <c r="A72" s="33" t="s">
        <v>47</v>
      </c>
      <c r="B72" s="38" t="s">
        <v>48</v>
      </c>
      <c r="C72" s="10">
        <v>630</v>
      </c>
      <c r="D72" s="39" t="s">
        <v>80</v>
      </c>
      <c r="E72" s="97">
        <f>10000+1500+3000</f>
        <v>14500</v>
      </c>
      <c r="F72" s="97"/>
      <c r="G72" s="97"/>
      <c r="H72" s="99">
        <f t="shared" si="16"/>
        <v>14500</v>
      </c>
      <c r="I72" s="99">
        <v>167.29</v>
      </c>
      <c r="J72" s="100">
        <f t="shared" ref="J72:J74" si="17">I72/H72</f>
        <v>1.1537241379310344E-2</v>
      </c>
      <c r="M72" s="12"/>
    </row>
    <row r="73" spans="1:13" s="30" customFormat="1" x14ac:dyDescent="0.25">
      <c r="A73" s="33" t="s">
        <v>47</v>
      </c>
      <c r="B73" s="38" t="s">
        <v>48</v>
      </c>
      <c r="C73" s="10">
        <v>630</v>
      </c>
      <c r="D73" s="39" t="s">
        <v>81</v>
      </c>
      <c r="E73" s="101">
        <v>7500</v>
      </c>
      <c r="F73" s="101"/>
      <c r="G73" s="101"/>
      <c r="H73" s="99">
        <f t="shared" si="16"/>
        <v>7500</v>
      </c>
      <c r="I73" s="99">
        <v>1580.54</v>
      </c>
      <c r="J73" s="100">
        <f t="shared" si="17"/>
        <v>0.21073866666666666</v>
      </c>
      <c r="M73" s="12"/>
    </row>
    <row r="74" spans="1:13" s="30" customFormat="1" x14ac:dyDescent="0.25">
      <c r="A74" s="33" t="s">
        <v>47</v>
      </c>
      <c r="B74" s="38" t="s">
        <v>48</v>
      </c>
      <c r="C74" s="10">
        <v>630</v>
      </c>
      <c r="D74" s="39" t="s">
        <v>82</v>
      </c>
      <c r="E74" s="101">
        <v>200</v>
      </c>
      <c r="F74" s="101"/>
      <c r="G74" s="101"/>
      <c r="H74" s="99">
        <f t="shared" si="16"/>
        <v>200</v>
      </c>
      <c r="I74" s="99">
        <v>83.91</v>
      </c>
      <c r="J74" s="100">
        <f t="shared" si="17"/>
        <v>0.41954999999999998</v>
      </c>
      <c r="M74" s="12"/>
    </row>
    <row r="75" spans="1:13" s="30" customFormat="1" x14ac:dyDescent="0.25">
      <c r="A75" s="33" t="s">
        <v>47</v>
      </c>
      <c r="B75" s="38" t="s">
        <v>48</v>
      </c>
      <c r="C75" s="10">
        <v>630</v>
      </c>
      <c r="D75" s="39" t="s">
        <v>83</v>
      </c>
      <c r="E75" s="101">
        <v>0</v>
      </c>
      <c r="F75" s="101"/>
      <c r="G75" s="101"/>
      <c r="H75" s="99">
        <f t="shared" si="16"/>
        <v>0</v>
      </c>
      <c r="I75" s="99">
        <v>0</v>
      </c>
      <c r="J75" s="100"/>
      <c r="M75" s="12"/>
    </row>
    <row r="76" spans="1:13" x14ac:dyDescent="0.25">
      <c r="A76" s="85" t="s">
        <v>22</v>
      </c>
      <c r="B76" s="85"/>
      <c r="C76" s="91"/>
      <c r="D76" s="87" t="s">
        <v>78</v>
      </c>
      <c r="E76" s="88">
        <f>SUM(E71:E75)</f>
        <v>54200</v>
      </c>
      <c r="F76" s="88">
        <f>SUM(F71:F75)</f>
        <v>0</v>
      </c>
      <c r="G76" s="88">
        <f>SUM(G71:G75)</f>
        <v>0</v>
      </c>
      <c r="H76" s="88">
        <f>SUM(H71:H75)</f>
        <v>54200</v>
      </c>
      <c r="I76" s="88">
        <f>SUM(I71:I75)</f>
        <v>21894.120000000003</v>
      </c>
      <c r="J76" s="89">
        <f>I76/H76</f>
        <v>0.4039505535055351</v>
      </c>
    </row>
    <row r="77" spans="1:13" x14ac:dyDescent="0.25">
      <c r="A77" s="75"/>
      <c r="B77" s="75"/>
      <c r="C77" s="76"/>
      <c r="D77" s="77" t="s">
        <v>84</v>
      </c>
      <c r="E77" s="80"/>
      <c r="F77" s="80"/>
      <c r="G77" s="80"/>
      <c r="H77" s="80"/>
      <c r="I77" s="81"/>
      <c r="J77" s="80"/>
    </row>
    <row r="78" spans="1:13" s="37" customFormat="1" x14ac:dyDescent="0.25">
      <c r="A78" s="33" t="s">
        <v>47</v>
      </c>
      <c r="B78" s="38" t="s">
        <v>85</v>
      </c>
      <c r="C78" s="10">
        <v>717</v>
      </c>
      <c r="D78" s="11" t="s">
        <v>86</v>
      </c>
      <c r="E78" s="96">
        <v>30000</v>
      </c>
      <c r="F78" s="96"/>
      <c r="G78" s="96"/>
      <c r="H78" s="94">
        <f t="shared" ref="H78" si="18">SUM(E78:G78)</f>
        <v>30000</v>
      </c>
      <c r="I78" s="94">
        <v>746.7600000000001</v>
      </c>
      <c r="J78" s="95">
        <f t="shared" ref="J78:J79" si="19">I78/H78</f>
        <v>2.4892000000000004E-2</v>
      </c>
      <c r="M78" s="12"/>
    </row>
    <row r="79" spans="1:13" s="37" customFormat="1" x14ac:dyDescent="0.25">
      <c r="A79" s="33" t="s">
        <v>47</v>
      </c>
      <c r="B79" s="33" t="s">
        <v>85</v>
      </c>
      <c r="C79" s="10">
        <v>630</v>
      </c>
      <c r="D79" s="11" t="s">
        <v>87</v>
      </c>
      <c r="E79" s="97">
        <v>5100</v>
      </c>
      <c r="F79" s="97"/>
      <c r="G79" s="97"/>
      <c r="H79" s="99">
        <f t="shared" ref="H79:H80" si="20">SUM(E79:G79)</f>
        <v>5100</v>
      </c>
      <c r="I79" s="99">
        <v>1642.59</v>
      </c>
      <c r="J79" s="100">
        <f>I79/H79</f>
        <v>0.3220764705882353</v>
      </c>
      <c r="M79" s="12"/>
    </row>
    <row r="80" spans="1:13" s="37" customFormat="1" x14ac:dyDescent="0.25">
      <c r="A80" s="33" t="s">
        <v>47</v>
      </c>
      <c r="B80" s="38" t="s">
        <v>88</v>
      </c>
      <c r="C80" s="10">
        <v>717</v>
      </c>
      <c r="D80" s="11" t="s">
        <v>89</v>
      </c>
      <c r="E80" s="96">
        <v>0</v>
      </c>
      <c r="F80" s="96"/>
      <c r="G80" s="96"/>
      <c r="H80" s="94">
        <f t="shared" si="20"/>
        <v>0</v>
      </c>
      <c r="I80" s="94">
        <v>0</v>
      </c>
      <c r="J80" s="95"/>
      <c r="M80" s="12"/>
    </row>
    <row r="81" spans="1:13" s="37" customFormat="1" x14ac:dyDescent="0.25">
      <c r="A81" s="33" t="s">
        <v>47</v>
      </c>
      <c r="B81" s="33" t="s">
        <v>88</v>
      </c>
      <c r="C81" s="10">
        <v>630</v>
      </c>
      <c r="D81" s="11" t="s">
        <v>90</v>
      </c>
      <c r="E81" s="97">
        <v>500</v>
      </c>
      <c r="F81" s="97"/>
      <c r="G81" s="97"/>
      <c r="H81" s="99">
        <f t="shared" ref="H81:H82" si="21">SUM(E81:G81)</f>
        <v>500</v>
      </c>
      <c r="I81" s="99">
        <v>32.699999999999996</v>
      </c>
      <c r="J81" s="100">
        <f>I81/H81</f>
        <v>6.5399999999999986E-2</v>
      </c>
      <c r="M81" s="12"/>
    </row>
    <row r="82" spans="1:13" s="37" customFormat="1" x14ac:dyDescent="0.25">
      <c r="A82" s="33" t="s">
        <v>47</v>
      </c>
      <c r="B82" s="38" t="s">
        <v>91</v>
      </c>
      <c r="C82" s="10">
        <v>630</v>
      </c>
      <c r="D82" s="11" t="s">
        <v>92</v>
      </c>
      <c r="E82" s="97">
        <v>1000</v>
      </c>
      <c r="F82" s="97"/>
      <c r="G82" s="97"/>
      <c r="H82" s="99">
        <f t="shared" si="21"/>
        <v>1000</v>
      </c>
      <c r="I82" s="99">
        <v>78.77000000000001</v>
      </c>
      <c r="J82" s="100">
        <f>I82/H82</f>
        <v>7.8770000000000007E-2</v>
      </c>
      <c r="M82" s="12"/>
    </row>
    <row r="83" spans="1:13" x14ac:dyDescent="0.25">
      <c r="A83" s="85" t="s">
        <v>22</v>
      </c>
      <c r="B83" s="85"/>
      <c r="C83" s="91"/>
      <c r="D83" s="87" t="s">
        <v>84</v>
      </c>
      <c r="E83" s="88">
        <f>SUM(E78:E82)</f>
        <v>36600</v>
      </c>
      <c r="F83" s="88">
        <f>SUM(F78:F82)</f>
        <v>0</v>
      </c>
      <c r="G83" s="88">
        <f>SUM(G78:G82)</f>
        <v>0</v>
      </c>
      <c r="H83" s="88">
        <f>SUM(H78:H82)</f>
        <v>36600</v>
      </c>
      <c r="I83" s="88">
        <f>SUM(I78:I82)</f>
        <v>2500.8199999999997</v>
      </c>
      <c r="J83" s="89">
        <f>I83/H83</f>
        <v>6.8328415300546438E-2</v>
      </c>
    </row>
    <row r="84" spans="1:13" x14ac:dyDescent="0.25">
      <c r="A84" s="75"/>
      <c r="B84" s="75"/>
      <c r="C84" s="76"/>
      <c r="D84" s="77" t="s">
        <v>93</v>
      </c>
      <c r="E84" s="80"/>
      <c r="F84" s="80"/>
      <c r="G84" s="80"/>
      <c r="H84" s="80"/>
      <c r="I84" s="81"/>
      <c r="J84" s="80"/>
    </row>
    <row r="85" spans="1:13" s="37" customFormat="1" x14ac:dyDescent="0.25">
      <c r="A85" s="33" t="s">
        <v>47</v>
      </c>
      <c r="B85" s="38" t="s">
        <v>91</v>
      </c>
      <c r="C85" s="10">
        <v>630</v>
      </c>
      <c r="D85" s="11" t="s">
        <v>94</v>
      </c>
      <c r="E85" s="97">
        <v>200</v>
      </c>
      <c r="F85" s="97"/>
      <c r="G85" s="97"/>
      <c r="H85" s="99">
        <f t="shared" ref="H85:H86" si="22">SUM(E85:G85)</f>
        <v>200</v>
      </c>
      <c r="I85" s="99">
        <f>28.18-28.18</f>
        <v>0</v>
      </c>
      <c r="J85" s="100">
        <f>I85/H85</f>
        <v>0</v>
      </c>
      <c r="M85" s="12"/>
    </row>
    <row r="86" spans="1:13" s="37" customFormat="1" x14ac:dyDescent="0.25">
      <c r="A86" s="33" t="s">
        <v>47</v>
      </c>
      <c r="B86" s="33" t="s">
        <v>48</v>
      </c>
      <c r="C86" s="10">
        <v>630</v>
      </c>
      <c r="D86" s="11" t="s">
        <v>95</v>
      </c>
      <c r="E86" s="97">
        <v>10500</v>
      </c>
      <c r="F86" s="97"/>
      <c r="G86" s="98">
        <v>-100</v>
      </c>
      <c r="H86" s="99">
        <f t="shared" si="22"/>
        <v>10400</v>
      </c>
      <c r="I86" s="99">
        <f>304.919999999998-27.97</f>
        <v>276.949999999998</v>
      </c>
      <c r="J86" s="100">
        <f>I86/H86</f>
        <v>2.6629807692307501E-2</v>
      </c>
      <c r="M86" s="12"/>
    </row>
    <row r="87" spans="1:13" x14ac:dyDescent="0.25">
      <c r="A87" s="93"/>
      <c r="B87" s="85"/>
      <c r="C87" s="91"/>
      <c r="D87" s="87" t="s">
        <v>93</v>
      </c>
      <c r="E87" s="88">
        <f>SUM(E85:E86)</f>
        <v>10700</v>
      </c>
      <c r="F87" s="88">
        <f>SUM(F85:F86)</f>
        <v>0</v>
      </c>
      <c r="G87" s="88">
        <f>SUM(G85:G86)</f>
        <v>-100</v>
      </c>
      <c r="H87" s="88">
        <f>SUM(H85:H86)</f>
        <v>10600</v>
      </c>
      <c r="I87" s="88">
        <f>SUM(I85:I86)</f>
        <v>276.949999999998</v>
      </c>
      <c r="J87" s="89">
        <f>I87/H87</f>
        <v>2.6127358490565848E-2</v>
      </c>
    </row>
    <row r="88" spans="1:13" x14ac:dyDescent="0.25">
      <c r="A88" s="75"/>
      <c r="B88" s="75" t="s">
        <v>96</v>
      </c>
      <c r="C88" s="76"/>
      <c r="D88" s="77"/>
      <c r="E88" s="78">
        <f>SUM(E87,E83,E76,E69,E63,E48:E58)</f>
        <v>211652.625</v>
      </c>
      <c r="F88" s="78">
        <f>SUM(F87,F83,F76,F69,F63,F48:F58)</f>
        <v>0</v>
      </c>
      <c r="G88" s="78">
        <f>SUM(G87,G83,G76,G69,G63,G48:G58)</f>
        <v>0</v>
      </c>
      <c r="H88" s="78">
        <f>SUM(H87,H83,H76,H69,H63,H48:H58)</f>
        <v>211652.625</v>
      </c>
      <c r="I88" s="78">
        <f>SUM(I87,I83,I76,I69,I63,I48:I58)</f>
        <v>87059.199999999983</v>
      </c>
      <c r="J88" s="79">
        <f>I88/H88</f>
        <v>0.41133059417524342</v>
      </c>
    </row>
    <row r="89" spans="1:13" x14ac:dyDescent="0.25">
      <c r="A89" s="75"/>
      <c r="B89" s="75"/>
      <c r="C89" s="76"/>
      <c r="D89" s="77" t="s">
        <v>97</v>
      </c>
      <c r="E89" s="80"/>
      <c r="F89" s="80"/>
      <c r="G89" s="80"/>
      <c r="H89" s="80"/>
      <c r="I89" s="80"/>
      <c r="J89" s="80"/>
    </row>
    <row r="90" spans="1:13" x14ac:dyDescent="0.25">
      <c r="A90" s="33" t="s">
        <v>34</v>
      </c>
      <c r="B90" s="33" t="s">
        <v>67</v>
      </c>
      <c r="C90" s="20" t="s">
        <v>49</v>
      </c>
      <c r="D90" s="11" t="s">
        <v>50</v>
      </c>
      <c r="E90" s="97">
        <f>23400+8200+13400+16200</f>
        <v>61200</v>
      </c>
      <c r="F90" s="97"/>
      <c r="G90" s="97"/>
      <c r="H90" s="99">
        <f t="shared" ref="H90:H106" si="23">SUM(E90:G90)</f>
        <v>61200</v>
      </c>
      <c r="I90" s="99">
        <v>28250.649999999998</v>
      </c>
      <c r="J90" s="100">
        <f>I90/H90</f>
        <v>0.46161192810457513</v>
      </c>
      <c r="M90" s="12"/>
    </row>
    <row r="91" spans="1:13" x14ac:dyDescent="0.25">
      <c r="A91" s="33" t="s">
        <v>34</v>
      </c>
      <c r="B91" s="33" t="s">
        <v>67</v>
      </c>
      <c r="C91" s="10">
        <v>620</v>
      </c>
      <c r="D91" s="11" t="s">
        <v>51</v>
      </c>
      <c r="E91" s="97">
        <f>(E90*0.3495)+(0.02*E90)</f>
        <v>22613.399999999998</v>
      </c>
      <c r="F91" s="97"/>
      <c r="G91" s="97"/>
      <c r="H91" s="99">
        <f t="shared" si="23"/>
        <v>22613.399999999998</v>
      </c>
      <c r="I91" s="99">
        <v>10234.64</v>
      </c>
      <c r="J91" s="100">
        <f t="shared" ref="J91:J92" si="24">I91/H91</f>
        <v>0.45259182608541842</v>
      </c>
      <c r="M91" s="12"/>
    </row>
    <row r="92" spans="1:13" x14ac:dyDescent="0.25">
      <c r="A92" s="33" t="s">
        <v>34</v>
      </c>
      <c r="B92" s="33" t="s">
        <v>67</v>
      </c>
      <c r="C92" s="10">
        <v>640</v>
      </c>
      <c r="D92" s="11" t="s">
        <v>98</v>
      </c>
      <c r="E92" s="97">
        <v>500</v>
      </c>
      <c r="F92" s="97"/>
      <c r="G92" s="97"/>
      <c r="H92" s="99">
        <f t="shared" si="23"/>
        <v>500</v>
      </c>
      <c r="I92" s="99">
        <v>230.53</v>
      </c>
      <c r="J92" s="100">
        <f t="shared" si="24"/>
        <v>0.46106000000000003</v>
      </c>
      <c r="M92" s="12"/>
    </row>
    <row r="93" spans="1:13" x14ac:dyDescent="0.25">
      <c r="A93" s="33" t="s">
        <v>47</v>
      </c>
      <c r="B93" s="33" t="s">
        <v>67</v>
      </c>
      <c r="C93" s="20" t="s">
        <v>53</v>
      </c>
      <c r="D93" s="11" t="s">
        <v>54</v>
      </c>
      <c r="E93" s="97"/>
      <c r="F93" s="97"/>
      <c r="G93" s="97"/>
      <c r="H93" s="99">
        <f t="shared" si="23"/>
        <v>0</v>
      </c>
      <c r="I93" s="99">
        <v>0</v>
      </c>
      <c r="J93" s="100"/>
      <c r="M93" s="12"/>
    </row>
    <row r="94" spans="1:13" x14ac:dyDescent="0.25">
      <c r="A94" s="33" t="s">
        <v>47</v>
      </c>
      <c r="B94" s="33" t="s">
        <v>67</v>
      </c>
      <c r="C94" s="20" t="s">
        <v>55</v>
      </c>
      <c r="D94" s="11" t="s">
        <v>56</v>
      </c>
      <c r="E94" s="97"/>
      <c r="F94" s="97"/>
      <c r="G94" s="97"/>
      <c r="H94" s="99">
        <f t="shared" si="23"/>
        <v>0</v>
      </c>
      <c r="I94" s="99">
        <v>0</v>
      </c>
      <c r="J94" s="100"/>
      <c r="M94" s="12"/>
    </row>
    <row r="95" spans="1:13" x14ac:dyDescent="0.25">
      <c r="A95" s="33" t="s">
        <v>47</v>
      </c>
      <c r="B95" s="33" t="s">
        <v>67</v>
      </c>
      <c r="C95" s="20" t="s">
        <v>57</v>
      </c>
      <c r="D95" s="11" t="s">
        <v>58</v>
      </c>
      <c r="E95" s="97">
        <v>1000</v>
      </c>
      <c r="F95" s="97"/>
      <c r="G95" s="97"/>
      <c r="H95" s="99">
        <f t="shared" si="23"/>
        <v>1000</v>
      </c>
      <c r="I95" s="99">
        <v>0</v>
      </c>
      <c r="J95" s="100">
        <f>I95/H95</f>
        <v>0</v>
      </c>
      <c r="M95" s="12"/>
    </row>
    <row r="96" spans="1:13" x14ac:dyDescent="0.25">
      <c r="A96" s="33" t="s">
        <v>47</v>
      </c>
      <c r="B96" s="33" t="s">
        <v>67</v>
      </c>
      <c r="C96" s="40" t="s">
        <v>99</v>
      </c>
      <c r="D96" s="11" t="s">
        <v>100</v>
      </c>
      <c r="E96" s="97">
        <v>2302.17</v>
      </c>
      <c r="F96" s="97"/>
      <c r="G96" s="97"/>
      <c r="H96" s="99">
        <f t="shared" si="23"/>
        <v>2302.17</v>
      </c>
      <c r="I96" s="99">
        <v>2012.8400000000001</v>
      </c>
      <c r="J96" s="100">
        <f t="shared" ref="J96:J106" si="25">I96/H96</f>
        <v>0.87432292141761903</v>
      </c>
      <c r="M96" s="12"/>
    </row>
    <row r="97" spans="1:13" x14ac:dyDescent="0.25">
      <c r="A97" s="33" t="s">
        <v>34</v>
      </c>
      <c r="B97" s="33" t="s">
        <v>67</v>
      </c>
      <c r="C97" s="10">
        <v>637014</v>
      </c>
      <c r="D97" s="11" t="s">
        <v>61</v>
      </c>
      <c r="E97" s="97">
        <v>2775</v>
      </c>
      <c r="F97" s="97"/>
      <c r="G97" s="97"/>
      <c r="H97" s="99">
        <f t="shared" si="23"/>
        <v>2775</v>
      </c>
      <c r="I97" s="99">
        <v>1420.42</v>
      </c>
      <c r="J97" s="100">
        <f t="shared" si="25"/>
        <v>0.51186306306306306</v>
      </c>
      <c r="M97" s="12"/>
    </row>
    <row r="98" spans="1:13" x14ac:dyDescent="0.25">
      <c r="A98" s="33" t="s">
        <v>34</v>
      </c>
      <c r="B98" s="33" t="s">
        <v>67</v>
      </c>
      <c r="C98" s="10">
        <v>637016</v>
      </c>
      <c r="D98" s="11" t="s">
        <v>62</v>
      </c>
      <c r="E98" s="97">
        <f>0.011*E90</f>
        <v>673.19999999999993</v>
      </c>
      <c r="F98" s="97"/>
      <c r="G98" s="97"/>
      <c r="H98" s="99">
        <f t="shared" si="23"/>
        <v>673.19999999999993</v>
      </c>
      <c r="I98" s="99">
        <v>275.27999999999997</v>
      </c>
      <c r="J98" s="100">
        <f t="shared" si="25"/>
        <v>0.40891265597147952</v>
      </c>
      <c r="M98" s="12"/>
    </row>
    <row r="99" spans="1:13" x14ac:dyDescent="0.25">
      <c r="A99" s="33" t="s">
        <v>47</v>
      </c>
      <c r="B99" s="33" t="s">
        <v>67</v>
      </c>
      <c r="C99" s="10">
        <v>630</v>
      </c>
      <c r="D99" s="11" t="s">
        <v>101</v>
      </c>
      <c r="E99" s="97">
        <v>16063.7</v>
      </c>
      <c r="F99" s="97"/>
      <c r="G99" s="97"/>
      <c r="H99" s="99">
        <f t="shared" si="23"/>
        <v>16063.7</v>
      </c>
      <c r="I99" s="99">
        <v>6401.43</v>
      </c>
      <c r="J99" s="100">
        <f t="shared" si="25"/>
        <v>0.39850283558582394</v>
      </c>
      <c r="M99" s="12"/>
    </row>
    <row r="100" spans="1:13" x14ac:dyDescent="0.25">
      <c r="A100" s="33" t="s">
        <v>102</v>
      </c>
      <c r="B100" s="33" t="s">
        <v>67</v>
      </c>
      <c r="C100" s="10">
        <v>630</v>
      </c>
      <c r="D100" s="11" t="s">
        <v>103</v>
      </c>
      <c r="E100" s="97">
        <f>18600+2850+1600+1000</f>
        <v>24050</v>
      </c>
      <c r="F100" s="97"/>
      <c r="G100" s="97"/>
      <c r="H100" s="99">
        <f t="shared" si="23"/>
        <v>24050</v>
      </c>
      <c r="I100" s="99">
        <v>14794.119999999999</v>
      </c>
      <c r="J100" s="100">
        <f t="shared" si="25"/>
        <v>0.61514012474012469</v>
      </c>
      <c r="M100" s="12"/>
    </row>
    <row r="101" spans="1:13" x14ac:dyDescent="0.25">
      <c r="A101" s="33" t="s">
        <v>102</v>
      </c>
      <c r="B101" s="33" t="s">
        <v>67</v>
      </c>
      <c r="C101" s="10">
        <v>630</v>
      </c>
      <c r="D101" s="11" t="s">
        <v>104</v>
      </c>
      <c r="E101" s="97">
        <f>600+330+800+500</f>
        <v>2230</v>
      </c>
      <c r="F101" s="97"/>
      <c r="G101" s="97"/>
      <c r="H101" s="99">
        <f t="shared" si="23"/>
        <v>2230</v>
      </c>
      <c r="I101" s="99">
        <v>1028.26</v>
      </c>
      <c r="J101" s="100">
        <f t="shared" si="25"/>
        <v>0.4611031390134529</v>
      </c>
      <c r="M101" s="12"/>
    </row>
    <row r="102" spans="1:13" x14ac:dyDescent="0.25">
      <c r="A102" s="33" t="s">
        <v>102</v>
      </c>
      <c r="B102" s="33" t="s">
        <v>67</v>
      </c>
      <c r="C102" s="10">
        <v>630</v>
      </c>
      <c r="D102" s="11" t="s">
        <v>105</v>
      </c>
      <c r="E102" s="97">
        <f>5400+220+350+300</f>
        <v>6270</v>
      </c>
      <c r="F102" s="97"/>
      <c r="G102" s="97"/>
      <c r="H102" s="99">
        <f t="shared" si="23"/>
        <v>6270</v>
      </c>
      <c r="I102" s="99">
        <v>2674.63</v>
      </c>
      <c r="J102" s="100">
        <f t="shared" si="25"/>
        <v>0.42657575757575761</v>
      </c>
      <c r="M102" s="12"/>
    </row>
    <row r="103" spans="1:13" x14ac:dyDescent="0.25">
      <c r="A103" s="33" t="s">
        <v>102</v>
      </c>
      <c r="B103" s="33" t="s">
        <v>67</v>
      </c>
      <c r="C103" s="10">
        <v>630</v>
      </c>
      <c r="D103" s="11" t="s">
        <v>106</v>
      </c>
      <c r="E103" s="97">
        <f>5400+440+800+500</f>
        <v>7140</v>
      </c>
      <c r="F103" s="97"/>
      <c r="G103" s="97"/>
      <c r="H103" s="99">
        <f t="shared" si="23"/>
        <v>7140</v>
      </c>
      <c r="I103" s="99">
        <v>2766.52</v>
      </c>
      <c r="J103" s="100">
        <f t="shared" si="25"/>
        <v>0.38746778711484592</v>
      </c>
      <c r="K103" s="12"/>
      <c r="L103" s="12"/>
      <c r="M103" s="12"/>
    </row>
    <row r="104" spans="1:13" x14ac:dyDescent="0.25">
      <c r="A104" s="33" t="s">
        <v>47</v>
      </c>
      <c r="B104" s="33" t="s">
        <v>67</v>
      </c>
      <c r="C104" s="10">
        <v>630</v>
      </c>
      <c r="D104" s="11" t="s">
        <v>107</v>
      </c>
      <c r="E104" s="97"/>
      <c r="F104" s="97"/>
      <c r="G104" s="97"/>
      <c r="H104" s="99">
        <f t="shared" si="23"/>
        <v>0</v>
      </c>
      <c r="I104" s="99">
        <v>0</v>
      </c>
      <c r="J104" s="100"/>
      <c r="M104" s="12"/>
    </row>
    <row r="105" spans="1:13" x14ac:dyDescent="0.25">
      <c r="A105" s="33" t="s">
        <v>47</v>
      </c>
      <c r="B105" s="33" t="s">
        <v>67</v>
      </c>
      <c r="C105" s="10">
        <v>630</v>
      </c>
      <c r="D105" s="11" t="s">
        <v>108</v>
      </c>
      <c r="E105" s="97">
        <v>2000</v>
      </c>
      <c r="F105" s="97"/>
      <c r="G105" s="97"/>
      <c r="H105" s="99">
        <f t="shared" si="23"/>
        <v>2000</v>
      </c>
      <c r="I105" s="99">
        <v>901.23000000000013</v>
      </c>
      <c r="J105" s="100">
        <f t="shared" si="25"/>
        <v>0.45061500000000004</v>
      </c>
      <c r="M105" s="12"/>
    </row>
    <row r="106" spans="1:13" x14ac:dyDescent="0.25">
      <c r="A106" s="33" t="s">
        <v>47</v>
      </c>
      <c r="B106" s="33" t="s">
        <v>67</v>
      </c>
      <c r="C106" s="10">
        <v>630</v>
      </c>
      <c r="D106" s="11" t="s">
        <v>109</v>
      </c>
      <c r="E106" s="97">
        <f>36892.83-1800</f>
        <v>35092.83</v>
      </c>
      <c r="F106" s="97"/>
      <c r="G106" s="97"/>
      <c r="H106" s="99">
        <f t="shared" si="23"/>
        <v>35092.83</v>
      </c>
      <c r="I106" s="99">
        <v>16730.060000000001</v>
      </c>
      <c r="J106" s="100">
        <f t="shared" si="25"/>
        <v>0.47673727083281686</v>
      </c>
      <c r="L106" s="12"/>
      <c r="M106" s="12"/>
    </row>
    <row r="107" spans="1:13" x14ac:dyDescent="0.25">
      <c r="A107" s="75"/>
      <c r="B107" s="75" t="s">
        <v>96</v>
      </c>
      <c r="C107" s="76"/>
      <c r="D107" s="77" t="s">
        <v>97</v>
      </c>
      <c r="E107" s="78">
        <f>SUM(E90:E106)</f>
        <v>183910.3</v>
      </c>
      <c r="F107" s="78">
        <f>SUM(F90:F106)</f>
        <v>0</v>
      </c>
      <c r="G107" s="78">
        <f>SUM(G90:G106)</f>
        <v>0</v>
      </c>
      <c r="H107" s="78">
        <f>SUM(H90:H106)</f>
        <v>183910.3</v>
      </c>
      <c r="I107" s="78">
        <f>SUM(I90:I106)</f>
        <v>87720.609999999986</v>
      </c>
      <c r="J107" s="79">
        <f>I107/E107</f>
        <v>0.47697497095051222</v>
      </c>
    </row>
    <row r="108" spans="1:13" x14ac:dyDescent="0.25">
      <c r="A108" s="75"/>
      <c r="B108" s="75"/>
      <c r="C108" s="76"/>
      <c r="D108" s="77" t="s">
        <v>110</v>
      </c>
      <c r="E108" s="80"/>
      <c r="F108" s="80"/>
      <c r="G108" s="80"/>
      <c r="H108" s="80"/>
      <c r="I108" s="81"/>
      <c r="J108" s="80"/>
    </row>
    <row r="109" spans="1:13" x14ac:dyDescent="0.25">
      <c r="A109" s="33" t="s">
        <v>47</v>
      </c>
      <c r="B109" s="33" t="s">
        <v>48</v>
      </c>
      <c r="C109" s="20" t="s">
        <v>49</v>
      </c>
      <c r="D109" s="11" t="s">
        <v>50</v>
      </c>
      <c r="E109" s="97">
        <v>30000</v>
      </c>
      <c r="F109" s="97"/>
      <c r="G109" s="98">
        <v>-100</v>
      </c>
      <c r="H109" s="99">
        <f t="shared" ref="H109:H120" si="26">SUM(E109:G109)</f>
        <v>29900</v>
      </c>
      <c r="I109" s="99">
        <v>22705.77</v>
      </c>
      <c r="J109" s="100">
        <f t="shared" ref="J109:J114" si="27">I109/H109</f>
        <v>0.75939030100334448</v>
      </c>
      <c r="M109" s="12"/>
    </row>
    <row r="110" spans="1:13" x14ac:dyDescent="0.25">
      <c r="A110" s="33" t="s">
        <v>47</v>
      </c>
      <c r="B110" s="33" t="s">
        <v>48</v>
      </c>
      <c r="C110" s="10">
        <v>620</v>
      </c>
      <c r="D110" s="11" t="s">
        <v>51</v>
      </c>
      <c r="E110" s="97">
        <f>(0.3495*E109)+(0.02*E109)</f>
        <v>11085</v>
      </c>
      <c r="F110" s="97"/>
      <c r="G110" s="98"/>
      <c r="H110" s="99">
        <f t="shared" si="26"/>
        <v>11085</v>
      </c>
      <c r="I110" s="99">
        <v>8227.73</v>
      </c>
      <c r="J110" s="100">
        <f t="shared" si="27"/>
        <v>0.74223996391520064</v>
      </c>
      <c r="M110" s="12"/>
    </row>
    <row r="111" spans="1:13" x14ac:dyDescent="0.25">
      <c r="A111" s="33" t="s">
        <v>47</v>
      </c>
      <c r="B111" s="33" t="s">
        <v>48</v>
      </c>
      <c r="C111" s="10">
        <v>640</v>
      </c>
      <c r="D111" s="11" t="s">
        <v>98</v>
      </c>
      <c r="E111" s="97">
        <v>200</v>
      </c>
      <c r="F111" s="97"/>
      <c r="G111" s="98">
        <v>100</v>
      </c>
      <c r="H111" s="99">
        <f t="shared" si="26"/>
        <v>300</v>
      </c>
      <c r="I111" s="99">
        <v>222.71</v>
      </c>
      <c r="J111" s="100">
        <f t="shared" si="27"/>
        <v>0.74236666666666673</v>
      </c>
      <c r="M111" s="12"/>
    </row>
    <row r="112" spans="1:13" x14ac:dyDescent="0.25">
      <c r="A112" s="33" t="s">
        <v>47</v>
      </c>
      <c r="B112" s="33" t="s">
        <v>48</v>
      </c>
      <c r="C112" s="20" t="s">
        <v>57</v>
      </c>
      <c r="D112" s="11" t="s">
        <v>58</v>
      </c>
      <c r="E112" s="97">
        <v>500</v>
      </c>
      <c r="F112" s="97"/>
      <c r="G112" s="97"/>
      <c r="H112" s="99">
        <f t="shared" si="26"/>
        <v>500</v>
      </c>
      <c r="I112" s="99">
        <v>0</v>
      </c>
      <c r="J112" s="100">
        <f t="shared" si="27"/>
        <v>0</v>
      </c>
      <c r="M112" s="12"/>
    </row>
    <row r="113" spans="1:13" x14ac:dyDescent="0.25">
      <c r="A113" s="33" t="s">
        <v>47</v>
      </c>
      <c r="B113" s="33" t="s">
        <v>48</v>
      </c>
      <c r="C113" s="10">
        <v>637014</v>
      </c>
      <c r="D113" s="11" t="s">
        <v>61</v>
      </c>
      <c r="E113" s="97">
        <v>1500</v>
      </c>
      <c r="F113" s="97"/>
      <c r="G113" s="97"/>
      <c r="H113" s="99">
        <f t="shared" si="26"/>
        <v>1500</v>
      </c>
      <c r="I113" s="99">
        <v>1156.94</v>
      </c>
      <c r="J113" s="100">
        <f t="shared" si="27"/>
        <v>0.77129333333333339</v>
      </c>
      <c r="M113" s="12"/>
    </row>
    <row r="114" spans="1:13" x14ac:dyDescent="0.25">
      <c r="A114" s="33" t="s">
        <v>47</v>
      </c>
      <c r="B114" s="33" t="s">
        <v>48</v>
      </c>
      <c r="C114" s="10">
        <v>637016</v>
      </c>
      <c r="D114" s="11" t="s">
        <v>62</v>
      </c>
      <c r="E114" s="97">
        <f>0.011*E109</f>
        <v>330</v>
      </c>
      <c r="F114" s="97"/>
      <c r="G114" s="97"/>
      <c r="H114" s="99">
        <f t="shared" si="26"/>
        <v>330</v>
      </c>
      <c r="I114" s="99">
        <v>222.59999999999997</v>
      </c>
      <c r="J114" s="100">
        <f t="shared" si="27"/>
        <v>0.67454545454545445</v>
      </c>
      <c r="M114" s="12"/>
    </row>
    <row r="115" spans="1:13" x14ac:dyDescent="0.25">
      <c r="A115" s="33" t="s">
        <v>47</v>
      </c>
      <c r="B115" s="33" t="s">
        <v>48</v>
      </c>
      <c r="C115" s="10"/>
      <c r="D115" s="11"/>
      <c r="E115" s="97"/>
      <c r="F115" s="97"/>
      <c r="G115" s="97"/>
      <c r="H115" s="99"/>
      <c r="I115" s="99"/>
      <c r="J115" s="100"/>
      <c r="M115" s="12"/>
    </row>
    <row r="116" spans="1:13" x14ac:dyDescent="0.25">
      <c r="A116" s="33" t="s">
        <v>47</v>
      </c>
      <c r="B116" s="33" t="s">
        <v>48</v>
      </c>
      <c r="C116" s="10">
        <v>630</v>
      </c>
      <c r="D116" s="11" t="s">
        <v>77</v>
      </c>
      <c r="E116" s="97">
        <v>0</v>
      </c>
      <c r="F116" s="97"/>
      <c r="G116" s="97"/>
      <c r="H116" s="99">
        <f t="shared" si="26"/>
        <v>0</v>
      </c>
      <c r="I116" s="99">
        <v>0</v>
      </c>
      <c r="J116" s="100"/>
      <c r="M116" s="12"/>
    </row>
    <row r="117" spans="1:13" x14ac:dyDescent="0.25">
      <c r="A117" s="33" t="s">
        <v>47</v>
      </c>
      <c r="B117" s="33" t="s">
        <v>48</v>
      </c>
      <c r="C117" s="10">
        <v>630</v>
      </c>
      <c r="D117" s="11" t="s">
        <v>111</v>
      </c>
      <c r="E117" s="97">
        <v>0</v>
      </c>
      <c r="F117" s="97"/>
      <c r="G117" s="97"/>
      <c r="H117" s="99">
        <f t="shared" si="26"/>
        <v>0</v>
      </c>
      <c r="I117" s="99">
        <v>0</v>
      </c>
      <c r="J117" s="100"/>
      <c r="M117" s="12"/>
    </row>
    <row r="118" spans="1:13" x14ac:dyDescent="0.25">
      <c r="A118" s="33" t="s">
        <v>47</v>
      </c>
      <c r="B118" s="33" t="s">
        <v>48</v>
      </c>
      <c r="C118" s="10">
        <v>630</v>
      </c>
      <c r="D118" s="11" t="s">
        <v>112</v>
      </c>
      <c r="E118" s="97">
        <v>0</v>
      </c>
      <c r="F118" s="97"/>
      <c r="G118" s="97"/>
      <c r="H118" s="99">
        <f t="shared" si="26"/>
        <v>0</v>
      </c>
      <c r="I118" s="99">
        <v>0</v>
      </c>
      <c r="J118" s="100"/>
      <c r="M118" s="12"/>
    </row>
    <row r="119" spans="1:13" x14ac:dyDescent="0.25">
      <c r="A119" s="33" t="s">
        <v>47</v>
      </c>
      <c r="B119" s="33" t="s">
        <v>48</v>
      </c>
      <c r="C119" s="10">
        <v>630</v>
      </c>
      <c r="D119" s="11" t="s">
        <v>113</v>
      </c>
      <c r="E119" s="97">
        <f>15000+2000+7500+1000</f>
        <v>25500</v>
      </c>
      <c r="F119" s="97"/>
      <c r="G119" s="97"/>
      <c r="H119" s="99">
        <f t="shared" si="26"/>
        <v>25500</v>
      </c>
      <c r="I119" s="99">
        <v>17889.95</v>
      </c>
      <c r="J119" s="100">
        <f>I119/H119</f>
        <v>0.70156666666666667</v>
      </c>
      <c r="M119" s="12"/>
    </row>
    <row r="120" spans="1:13" x14ac:dyDescent="0.25">
      <c r="A120" s="33" t="s">
        <v>47</v>
      </c>
      <c r="B120" s="33" t="s">
        <v>48</v>
      </c>
      <c r="C120" s="10">
        <v>630</v>
      </c>
      <c r="D120" s="11" t="s">
        <v>114</v>
      </c>
      <c r="E120" s="97">
        <f>27000+12000+4000+3500</f>
        <v>46500</v>
      </c>
      <c r="F120" s="97"/>
      <c r="G120" s="97"/>
      <c r="H120" s="99">
        <f t="shared" si="26"/>
        <v>46500</v>
      </c>
      <c r="I120" s="99">
        <v>20576.410000000003</v>
      </c>
      <c r="J120" s="100">
        <f t="shared" ref="J119:J120" si="28">I120/H120</f>
        <v>0.44250344086021515</v>
      </c>
      <c r="M120" s="12"/>
    </row>
    <row r="121" spans="1:13" x14ac:dyDescent="0.25">
      <c r="A121" s="41"/>
      <c r="B121" s="41"/>
      <c r="C121" s="42"/>
      <c r="D121" s="43"/>
      <c r="E121" s="43"/>
      <c r="F121" s="43"/>
      <c r="G121" s="43"/>
      <c r="H121" s="43"/>
      <c r="I121" s="43"/>
      <c r="J121" s="43"/>
      <c r="K121" s="12"/>
    </row>
    <row r="122" spans="1:13" x14ac:dyDescent="0.25">
      <c r="A122" s="44" t="s">
        <v>47</v>
      </c>
      <c r="B122" s="44" t="s">
        <v>91</v>
      </c>
      <c r="C122" s="10">
        <v>600</v>
      </c>
      <c r="D122" s="45" t="s">
        <v>115</v>
      </c>
      <c r="E122" s="98"/>
      <c r="F122" s="98"/>
      <c r="G122" s="98"/>
      <c r="H122" s="98"/>
      <c r="I122" s="98"/>
      <c r="J122" s="98"/>
    </row>
    <row r="123" spans="1:13" x14ac:dyDescent="0.25">
      <c r="A123" s="44" t="s">
        <v>47</v>
      </c>
      <c r="B123" s="46" t="s">
        <v>91</v>
      </c>
      <c r="C123" s="13">
        <v>717003</v>
      </c>
      <c r="D123" s="45" t="s">
        <v>116</v>
      </c>
      <c r="E123" s="94">
        <v>35000</v>
      </c>
      <c r="F123" s="94"/>
      <c r="G123" s="94"/>
      <c r="H123" s="94">
        <f t="shared" ref="H123" si="29">SUM(E123:G123)</f>
        <v>35000</v>
      </c>
      <c r="I123" s="94">
        <f>1000.7+28.18</f>
        <v>1028.8800000000001</v>
      </c>
      <c r="J123" s="95">
        <f t="shared" ref="J123" si="30">I123/H123</f>
        <v>2.9396571428571432E-2</v>
      </c>
      <c r="M123" s="12"/>
    </row>
    <row r="124" spans="1:13" x14ac:dyDescent="0.25">
      <c r="A124" s="44" t="s">
        <v>47</v>
      </c>
      <c r="B124" s="44" t="s">
        <v>91</v>
      </c>
      <c r="C124" s="13">
        <v>717002</v>
      </c>
      <c r="D124" s="45" t="s">
        <v>117</v>
      </c>
      <c r="E124" s="96"/>
      <c r="F124" s="96"/>
      <c r="G124" s="96"/>
      <c r="H124" s="96"/>
      <c r="I124" s="96"/>
      <c r="J124" s="94"/>
    </row>
    <row r="125" spans="1:13" x14ac:dyDescent="0.25">
      <c r="A125" s="44" t="s">
        <v>47</v>
      </c>
      <c r="B125" s="46" t="s">
        <v>91</v>
      </c>
      <c r="C125" s="13">
        <v>717001</v>
      </c>
      <c r="D125" s="45" t="s">
        <v>118</v>
      </c>
      <c r="E125" s="96"/>
      <c r="F125" s="96"/>
      <c r="G125" s="96"/>
      <c r="H125" s="96"/>
      <c r="I125" s="96"/>
      <c r="J125" s="94"/>
    </row>
    <row r="126" spans="1:13" x14ac:dyDescent="0.25">
      <c r="A126" s="47"/>
      <c r="B126" s="47" t="s">
        <v>119</v>
      </c>
      <c r="C126" s="48"/>
      <c r="D126" s="49"/>
      <c r="E126" s="50">
        <f>SUM(E109:E125)</f>
        <v>150615</v>
      </c>
      <c r="F126" s="50">
        <f>SUM(F109:F125)</f>
        <v>0</v>
      </c>
      <c r="G126" s="50">
        <f t="shared" ref="G126:H126" si="31">SUM(G109:G125)</f>
        <v>0</v>
      </c>
      <c r="H126" s="50">
        <f t="shared" si="31"/>
        <v>150615</v>
      </c>
      <c r="I126" s="50">
        <f>SUM(I109:I125)</f>
        <v>72030.990000000005</v>
      </c>
      <c r="J126" s="120">
        <f>I126/H126</f>
        <v>0.47824579225176778</v>
      </c>
    </row>
    <row r="127" spans="1:13" x14ac:dyDescent="0.25">
      <c r="A127" s="51" t="s">
        <v>47</v>
      </c>
      <c r="B127" s="33"/>
      <c r="C127" s="52">
        <v>637037</v>
      </c>
      <c r="D127" s="11" t="s">
        <v>120</v>
      </c>
      <c r="E127" s="98"/>
      <c r="F127" s="98">
        <v>21083.97</v>
      </c>
      <c r="G127" s="98"/>
      <c r="H127" s="99">
        <f t="shared" ref="H127:H128" si="32">SUM(E127:G127)</f>
        <v>21083.97</v>
      </c>
      <c r="I127" s="99">
        <v>21083.97</v>
      </c>
      <c r="J127" s="100">
        <f>I127/H127</f>
        <v>1</v>
      </c>
      <c r="M127" s="12"/>
    </row>
    <row r="128" spans="1:13" x14ac:dyDescent="0.25">
      <c r="A128" s="51" t="s">
        <v>47</v>
      </c>
      <c r="B128" s="33"/>
      <c r="C128" s="52">
        <v>719014</v>
      </c>
      <c r="D128" s="11" t="s">
        <v>121</v>
      </c>
      <c r="E128" s="98"/>
      <c r="F128" s="98">
        <v>4343.42</v>
      </c>
      <c r="G128" s="98"/>
      <c r="H128" s="99">
        <f t="shared" si="32"/>
        <v>4343.42</v>
      </c>
      <c r="I128" s="99">
        <v>4343.42</v>
      </c>
      <c r="J128" s="100">
        <f t="shared" ref="J127:J128" si="33">I128/H128</f>
        <v>1</v>
      </c>
      <c r="M128" s="12"/>
    </row>
    <row r="129" spans="1:13" x14ac:dyDescent="0.25">
      <c r="A129" s="102" t="s">
        <v>28</v>
      </c>
      <c r="B129" s="103"/>
      <c r="C129" s="103"/>
      <c r="D129" s="104"/>
      <c r="E129" s="21">
        <f>SUM(E126,E107,E88,E127,E128)</f>
        <v>546177.92500000005</v>
      </c>
      <c r="F129" s="21">
        <f>SUM(F126,F107,F88,F127,F128)</f>
        <v>25427.39</v>
      </c>
      <c r="G129" s="21">
        <f t="shared" ref="G129:H129" si="34">SUM(G126,G107,G88,G127,G128)</f>
        <v>0</v>
      </c>
      <c r="H129" s="21">
        <f t="shared" si="34"/>
        <v>571605.31500000006</v>
      </c>
      <c r="I129" s="21">
        <f>SUM(I126,I107,I88)</f>
        <v>246810.79999999996</v>
      </c>
      <c r="J129" s="22">
        <f>I129/H129</f>
        <v>0.43178534825205384</v>
      </c>
    </row>
    <row r="130" spans="1:13" x14ac:dyDescent="0.25">
      <c r="A130" s="112" t="s">
        <v>29</v>
      </c>
      <c r="B130" s="113"/>
      <c r="C130" s="113"/>
      <c r="D130" s="114"/>
      <c r="E130" s="9"/>
      <c r="F130" s="9"/>
      <c r="G130" s="9"/>
      <c r="H130" s="9"/>
      <c r="I130" s="9"/>
      <c r="J130" s="9"/>
    </row>
    <row r="131" spans="1:13" s="37" customFormat="1" x14ac:dyDescent="0.25">
      <c r="A131" s="75"/>
      <c r="B131" s="75"/>
      <c r="C131" s="76"/>
      <c r="D131" s="77"/>
      <c r="E131" s="80"/>
      <c r="F131" s="80"/>
      <c r="G131" s="80"/>
      <c r="H131" s="80"/>
      <c r="I131" s="80"/>
      <c r="J131" s="80"/>
    </row>
    <row r="132" spans="1:13" x14ac:dyDescent="0.25">
      <c r="A132" s="53" t="s">
        <v>102</v>
      </c>
      <c r="B132" s="53" t="s">
        <v>122</v>
      </c>
      <c r="C132" s="20" t="s">
        <v>49</v>
      </c>
      <c r="D132" s="11" t="s">
        <v>50</v>
      </c>
      <c r="E132" s="97">
        <f>3*1150*12+2300+1500</f>
        <v>45200</v>
      </c>
      <c r="F132" s="97"/>
      <c r="G132" s="98">
        <v>3340</v>
      </c>
      <c r="H132" s="99">
        <f t="shared" ref="H132:H152" si="35">SUM(E132:G132)</f>
        <v>48540</v>
      </c>
      <c r="I132" s="99">
        <v>23866.58</v>
      </c>
      <c r="J132" s="100">
        <f>I132/H132</f>
        <v>0.49168891635764322</v>
      </c>
      <c r="M132" s="12"/>
    </row>
    <row r="133" spans="1:13" x14ac:dyDescent="0.25">
      <c r="A133" s="53" t="s">
        <v>102</v>
      </c>
      <c r="B133" s="53" t="s">
        <v>122</v>
      </c>
      <c r="C133" s="10">
        <v>620</v>
      </c>
      <c r="D133" s="11" t="s">
        <v>51</v>
      </c>
      <c r="E133" s="97">
        <f>ROUND((0.3495*E132)+(0.02*E132)-(1500*0.3495),0)</f>
        <v>16177</v>
      </c>
      <c r="F133" s="97"/>
      <c r="G133" s="98">
        <v>1170</v>
      </c>
      <c r="H133" s="99">
        <f t="shared" si="35"/>
        <v>17347</v>
      </c>
      <c r="I133" s="99">
        <v>8646.5399999999991</v>
      </c>
      <c r="J133" s="100">
        <f t="shared" ref="J133:J143" si="36">I133/H133</f>
        <v>0.49844584077938542</v>
      </c>
      <c r="L133" s="12"/>
      <c r="M133" s="12"/>
    </row>
    <row r="134" spans="1:13" x14ac:dyDescent="0.25">
      <c r="A134" s="53" t="s">
        <v>102</v>
      </c>
      <c r="B134" s="53" t="s">
        <v>122</v>
      </c>
      <c r="C134" s="10">
        <v>640</v>
      </c>
      <c r="D134" s="11" t="s">
        <v>98</v>
      </c>
      <c r="E134" s="97">
        <v>300</v>
      </c>
      <c r="F134" s="97"/>
      <c r="G134" s="97"/>
      <c r="H134" s="99">
        <f t="shared" si="35"/>
        <v>300</v>
      </c>
      <c r="I134" s="99">
        <v>196.48</v>
      </c>
      <c r="J134" s="100">
        <f t="shared" si="36"/>
        <v>0.65493333333333326</v>
      </c>
      <c r="M134" s="12"/>
    </row>
    <row r="135" spans="1:13" x14ac:dyDescent="0.25">
      <c r="A135" s="53" t="s">
        <v>102</v>
      </c>
      <c r="B135" s="53" t="s">
        <v>122</v>
      </c>
      <c r="C135" s="20" t="s">
        <v>53</v>
      </c>
      <c r="D135" s="11" t="s">
        <v>54</v>
      </c>
      <c r="E135" s="97">
        <v>3000</v>
      </c>
      <c r="F135" s="97"/>
      <c r="G135" s="97"/>
      <c r="H135" s="99">
        <f t="shared" si="35"/>
        <v>3000</v>
      </c>
      <c r="I135" s="99">
        <v>2519</v>
      </c>
      <c r="J135" s="100">
        <f t="shared" si="36"/>
        <v>0.83966666666666667</v>
      </c>
      <c r="M135" s="12"/>
    </row>
    <row r="136" spans="1:13" x14ac:dyDescent="0.25">
      <c r="A136" s="53" t="s">
        <v>102</v>
      </c>
      <c r="B136" s="53" t="s">
        <v>122</v>
      </c>
      <c r="C136" s="20" t="s">
        <v>55</v>
      </c>
      <c r="D136" s="11" t="s">
        <v>56</v>
      </c>
      <c r="E136" s="97">
        <v>50</v>
      </c>
      <c r="F136" s="97"/>
      <c r="G136" s="97"/>
      <c r="H136" s="99">
        <f t="shared" si="35"/>
        <v>50</v>
      </c>
      <c r="I136" s="99">
        <v>0</v>
      </c>
      <c r="J136" s="100">
        <f t="shared" si="36"/>
        <v>0</v>
      </c>
      <c r="M136" s="12"/>
    </row>
    <row r="137" spans="1:13" x14ac:dyDescent="0.25">
      <c r="A137" s="53" t="s">
        <v>102</v>
      </c>
      <c r="B137" s="53" t="s">
        <v>122</v>
      </c>
      <c r="C137" s="20" t="s">
        <v>57</v>
      </c>
      <c r="D137" s="11" t="s">
        <v>58</v>
      </c>
      <c r="E137" s="97">
        <v>750</v>
      </c>
      <c r="F137" s="97"/>
      <c r="G137" s="97"/>
      <c r="H137" s="99">
        <f t="shared" si="35"/>
        <v>750</v>
      </c>
      <c r="I137" s="99">
        <v>0</v>
      </c>
      <c r="J137" s="100">
        <f t="shared" si="36"/>
        <v>0</v>
      </c>
      <c r="M137" s="12"/>
    </row>
    <row r="138" spans="1:13" x14ac:dyDescent="0.25">
      <c r="A138" s="53" t="s">
        <v>102</v>
      </c>
      <c r="B138" s="53" t="s">
        <v>122</v>
      </c>
      <c r="C138" s="10">
        <v>637035</v>
      </c>
      <c r="D138" s="11" t="s">
        <v>123</v>
      </c>
      <c r="E138" s="97">
        <v>19000</v>
      </c>
      <c r="F138" s="97"/>
      <c r="G138" s="97"/>
      <c r="H138" s="99">
        <f t="shared" si="35"/>
        <v>19000</v>
      </c>
      <c r="I138" s="99">
        <v>-862.8900000000001</v>
      </c>
      <c r="J138" s="100">
        <f t="shared" si="36"/>
        <v>-4.5415263157894743E-2</v>
      </c>
      <c r="M138" s="12"/>
    </row>
    <row r="139" spans="1:13" x14ac:dyDescent="0.25">
      <c r="A139" s="53" t="s">
        <v>102</v>
      </c>
      <c r="B139" s="53" t="s">
        <v>48</v>
      </c>
      <c r="C139" s="10" t="s">
        <v>124</v>
      </c>
      <c r="D139" s="11" t="s">
        <v>64</v>
      </c>
      <c r="E139" s="97">
        <v>2000</v>
      </c>
      <c r="F139" s="97"/>
      <c r="G139" s="97"/>
      <c r="H139" s="99">
        <f t="shared" si="35"/>
        <v>2000</v>
      </c>
      <c r="I139" s="99">
        <v>445.18</v>
      </c>
      <c r="J139" s="100">
        <f t="shared" si="36"/>
        <v>0.22259000000000001</v>
      </c>
      <c r="M139" s="12"/>
    </row>
    <row r="140" spans="1:13" x14ac:dyDescent="0.25">
      <c r="A140" s="53" t="s">
        <v>102</v>
      </c>
      <c r="B140" s="53" t="s">
        <v>122</v>
      </c>
      <c r="C140" s="20" t="s">
        <v>99</v>
      </c>
      <c r="D140" s="11" t="s">
        <v>125</v>
      </c>
      <c r="E140" s="97">
        <v>1200</v>
      </c>
      <c r="F140" s="97"/>
      <c r="G140" s="97"/>
      <c r="H140" s="99">
        <f t="shared" si="35"/>
        <v>1200</v>
      </c>
      <c r="I140" s="99">
        <v>253.99</v>
      </c>
      <c r="J140" s="100">
        <f t="shared" si="36"/>
        <v>0.21165833333333334</v>
      </c>
      <c r="M140" s="12"/>
    </row>
    <row r="141" spans="1:13" x14ac:dyDescent="0.25">
      <c r="A141" s="53" t="s">
        <v>102</v>
      </c>
      <c r="B141" s="53" t="s">
        <v>122</v>
      </c>
      <c r="C141" s="10">
        <v>637014</v>
      </c>
      <c r="D141" s="11" t="s">
        <v>61</v>
      </c>
      <c r="E141" s="97">
        <v>2200</v>
      </c>
      <c r="F141" s="97"/>
      <c r="G141" s="97"/>
      <c r="H141" s="99">
        <f t="shared" si="35"/>
        <v>2200</v>
      </c>
      <c r="I141" s="99">
        <v>-1752.75</v>
      </c>
      <c r="J141" s="100">
        <f t="shared" si="36"/>
        <v>-0.7967045454545455</v>
      </c>
      <c r="M141" s="12"/>
    </row>
    <row r="142" spans="1:13" x14ac:dyDescent="0.25">
      <c r="A142" s="53" t="s">
        <v>102</v>
      </c>
      <c r="B142" s="53" t="s">
        <v>122</v>
      </c>
      <c r="C142" s="10">
        <v>637016</v>
      </c>
      <c r="D142" s="11" t="s">
        <v>62</v>
      </c>
      <c r="E142" s="97">
        <f>ROUND(0.011*E132,0)</f>
        <v>497</v>
      </c>
      <c r="F142" s="97"/>
      <c r="G142" s="97"/>
      <c r="H142" s="99">
        <f t="shared" si="35"/>
        <v>497</v>
      </c>
      <c r="I142" s="99">
        <v>233.80999999999997</v>
      </c>
      <c r="J142" s="100">
        <f t="shared" si="36"/>
        <v>0.47044265593561363</v>
      </c>
      <c r="M142" s="12"/>
    </row>
    <row r="143" spans="1:13" x14ac:dyDescent="0.25">
      <c r="A143" s="53" t="s">
        <v>102</v>
      </c>
      <c r="B143" s="53" t="s">
        <v>122</v>
      </c>
      <c r="C143" s="10">
        <v>630</v>
      </c>
      <c r="D143" s="11" t="s">
        <v>65</v>
      </c>
      <c r="E143" s="97">
        <v>4100</v>
      </c>
      <c r="F143" s="97"/>
      <c r="G143" s="97"/>
      <c r="H143" s="99">
        <f t="shared" si="35"/>
        <v>4100</v>
      </c>
      <c r="I143" s="99">
        <v>401.12</v>
      </c>
      <c r="J143" s="100">
        <f t="shared" si="36"/>
        <v>9.783414634146341E-2</v>
      </c>
      <c r="M143" s="12"/>
    </row>
    <row r="144" spans="1:13" s="37" customFormat="1" x14ac:dyDescent="0.25">
      <c r="A144" s="75"/>
      <c r="B144" s="75"/>
      <c r="C144" s="76"/>
      <c r="D144" s="77" t="s">
        <v>66</v>
      </c>
      <c r="E144" s="80"/>
      <c r="F144" s="80"/>
      <c r="G144" s="80"/>
      <c r="H144" s="80"/>
      <c r="I144" s="81"/>
      <c r="J144" s="80"/>
    </row>
    <row r="145" spans="1:13" s="37" customFormat="1" x14ac:dyDescent="0.25">
      <c r="A145" s="53" t="s">
        <v>102</v>
      </c>
      <c r="B145" s="53" t="s">
        <v>126</v>
      </c>
      <c r="C145" s="10">
        <v>630</v>
      </c>
      <c r="D145" s="16" t="s">
        <v>37</v>
      </c>
      <c r="E145" s="97">
        <v>600</v>
      </c>
      <c r="F145" s="97"/>
      <c r="G145" s="97"/>
      <c r="H145" s="99">
        <f t="shared" si="35"/>
        <v>600</v>
      </c>
      <c r="I145" s="99">
        <v>563.18000000000006</v>
      </c>
      <c r="J145" s="100">
        <f>I145/H145</f>
        <v>0.93863333333333343</v>
      </c>
      <c r="M145" s="12"/>
    </row>
    <row r="146" spans="1:13" s="37" customFormat="1" x14ac:dyDescent="0.25">
      <c r="A146" s="53" t="s">
        <v>102</v>
      </c>
      <c r="B146" s="53" t="s">
        <v>127</v>
      </c>
      <c r="C146" s="10">
        <v>630</v>
      </c>
      <c r="D146" s="16" t="s">
        <v>128</v>
      </c>
      <c r="E146" s="97">
        <v>13500</v>
      </c>
      <c r="F146" s="97"/>
      <c r="G146" s="98">
        <v>2500</v>
      </c>
      <c r="H146" s="99">
        <f t="shared" si="35"/>
        <v>16000</v>
      </c>
      <c r="I146" s="99">
        <v>14585.25</v>
      </c>
      <c r="J146" s="100">
        <f t="shared" ref="J146:J149" si="37">I146/H146</f>
        <v>0.91157812500000002</v>
      </c>
      <c r="M146" s="12"/>
    </row>
    <row r="147" spans="1:13" x14ac:dyDescent="0.25">
      <c r="A147" s="53" t="s">
        <v>102</v>
      </c>
      <c r="B147" s="53" t="s">
        <v>127</v>
      </c>
      <c r="C147" s="10">
        <v>630</v>
      </c>
      <c r="D147" s="16" t="s">
        <v>129</v>
      </c>
      <c r="E147" s="97">
        <v>1560</v>
      </c>
      <c r="F147" s="97"/>
      <c r="G147" s="98">
        <v>1000</v>
      </c>
      <c r="H147" s="99">
        <f t="shared" si="35"/>
        <v>2560</v>
      </c>
      <c r="I147" s="99">
        <v>2038.22</v>
      </c>
      <c r="J147" s="100">
        <f t="shared" si="37"/>
        <v>0.79617968750000001</v>
      </c>
      <c r="M147" s="12"/>
    </row>
    <row r="148" spans="1:13" x14ac:dyDescent="0.25">
      <c r="A148" s="53" t="s">
        <v>102</v>
      </c>
      <c r="B148" s="53" t="s">
        <v>127</v>
      </c>
      <c r="C148" s="10">
        <v>630</v>
      </c>
      <c r="D148" s="11" t="s">
        <v>130</v>
      </c>
      <c r="E148" s="97">
        <v>8300</v>
      </c>
      <c r="F148" s="97"/>
      <c r="G148" s="98"/>
      <c r="H148" s="99">
        <f t="shared" si="35"/>
        <v>8300</v>
      </c>
      <c r="I148" s="99">
        <v>3875.77</v>
      </c>
      <c r="J148" s="100">
        <f t="shared" si="37"/>
        <v>0.46696024096385541</v>
      </c>
      <c r="M148" s="12"/>
    </row>
    <row r="149" spans="1:13" x14ac:dyDescent="0.25">
      <c r="A149" s="53" t="s">
        <v>102</v>
      </c>
      <c r="B149" s="53" t="s">
        <v>127</v>
      </c>
      <c r="C149" s="10">
        <v>630</v>
      </c>
      <c r="D149" s="11" t="s">
        <v>131</v>
      </c>
      <c r="E149" s="97">
        <v>360</v>
      </c>
      <c r="F149" s="97"/>
      <c r="G149" s="98"/>
      <c r="H149" s="99">
        <f t="shared" si="35"/>
        <v>360</v>
      </c>
      <c r="I149" s="99">
        <v>7.3599999999999994</v>
      </c>
      <c r="J149" s="100">
        <f t="shared" si="37"/>
        <v>2.0444444444444442E-2</v>
      </c>
      <c r="M149" s="12"/>
    </row>
    <row r="150" spans="1:13" x14ac:dyDescent="0.25">
      <c r="A150" s="53" t="s">
        <v>102</v>
      </c>
      <c r="B150" s="53" t="s">
        <v>127</v>
      </c>
      <c r="C150" s="10">
        <v>630</v>
      </c>
      <c r="D150" s="36" t="s">
        <v>132</v>
      </c>
      <c r="E150" s="97">
        <v>0</v>
      </c>
      <c r="F150" s="97"/>
      <c r="G150" s="98"/>
      <c r="H150" s="99">
        <f t="shared" si="35"/>
        <v>0</v>
      </c>
      <c r="I150" s="99">
        <v>0</v>
      </c>
      <c r="J150" s="100"/>
      <c r="M150" s="12"/>
    </row>
    <row r="151" spans="1:13" x14ac:dyDescent="0.25">
      <c r="A151" s="53" t="s">
        <v>102</v>
      </c>
      <c r="B151" s="53" t="s">
        <v>127</v>
      </c>
      <c r="C151" s="54" t="s">
        <v>133</v>
      </c>
      <c r="D151" s="36" t="s">
        <v>134</v>
      </c>
      <c r="E151" s="96">
        <v>0</v>
      </c>
      <c r="F151" s="96"/>
      <c r="G151" s="94"/>
      <c r="H151" s="94">
        <f t="shared" si="35"/>
        <v>0</v>
      </c>
      <c r="I151" s="94">
        <v>0</v>
      </c>
      <c r="J151" s="94"/>
      <c r="K151" s="12"/>
      <c r="L151" s="12"/>
      <c r="M151" s="12"/>
    </row>
    <row r="152" spans="1:13" x14ac:dyDescent="0.25">
      <c r="A152" s="53" t="s">
        <v>102</v>
      </c>
      <c r="B152" s="53" t="s">
        <v>127</v>
      </c>
      <c r="C152" s="55" t="s">
        <v>135</v>
      </c>
      <c r="D152" s="56" t="s">
        <v>136</v>
      </c>
      <c r="E152" s="96">
        <v>1222</v>
      </c>
      <c r="F152" s="94">
        <v>24889.01</v>
      </c>
      <c r="G152" s="94">
        <v>-3500</v>
      </c>
      <c r="H152" s="94">
        <f t="shared" si="35"/>
        <v>22611.01</v>
      </c>
      <c r="I152" s="94">
        <v>0</v>
      </c>
      <c r="J152" s="95">
        <f t="shared" ref="J152" si="38">I152/H152</f>
        <v>0</v>
      </c>
      <c r="M152" s="12"/>
    </row>
    <row r="153" spans="1:13" x14ac:dyDescent="0.25">
      <c r="A153" s="85" t="s">
        <v>22</v>
      </c>
      <c r="B153" s="85"/>
      <c r="C153" s="86"/>
      <c r="D153" s="87" t="s">
        <v>137</v>
      </c>
      <c r="E153" s="88">
        <f>SUM(E145:E152)</f>
        <v>25542</v>
      </c>
      <c r="F153" s="88">
        <f>SUM(F145:F152)</f>
        <v>24889.01</v>
      </c>
      <c r="G153" s="88">
        <f>SUM(G145:G152)</f>
        <v>0</v>
      </c>
      <c r="H153" s="88">
        <f>SUM(H145:H152)</f>
        <v>50431.009999999995</v>
      </c>
      <c r="I153" s="88">
        <f>SUM(I145:I152)</f>
        <v>21069.780000000002</v>
      </c>
      <c r="J153" s="89">
        <f>I153/H153</f>
        <v>0.41779413103168078</v>
      </c>
    </row>
    <row r="154" spans="1:13" x14ac:dyDescent="0.25">
      <c r="A154" s="75"/>
      <c r="B154" s="75"/>
      <c r="C154" s="76"/>
      <c r="D154" s="77" t="s">
        <v>97</v>
      </c>
      <c r="E154" s="80"/>
      <c r="F154" s="80"/>
      <c r="G154" s="80"/>
      <c r="H154" s="80"/>
      <c r="I154" s="81"/>
      <c r="J154" s="80"/>
    </row>
    <row r="155" spans="1:13" x14ac:dyDescent="0.25">
      <c r="A155" s="53" t="s">
        <v>102</v>
      </c>
      <c r="B155" s="33" t="s">
        <v>122</v>
      </c>
      <c r="C155" s="10">
        <v>630</v>
      </c>
      <c r="D155" s="16" t="s">
        <v>138</v>
      </c>
      <c r="E155" s="97">
        <v>180</v>
      </c>
      <c r="F155" s="97"/>
      <c r="G155" s="98">
        <v>820</v>
      </c>
      <c r="H155" s="99">
        <f t="shared" ref="H155:H157" si="39">SUM(E155:G155)</f>
        <v>1000</v>
      </c>
      <c r="I155" s="99">
        <v>883.79</v>
      </c>
      <c r="J155" s="100">
        <f t="shared" ref="J155:J157" si="40">I155/H155</f>
        <v>0.88378999999999996</v>
      </c>
      <c r="M155" s="12"/>
    </row>
    <row r="156" spans="1:13" x14ac:dyDescent="0.25">
      <c r="A156" s="53" t="s">
        <v>102</v>
      </c>
      <c r="B156" s="33" t="s">
        <v>122</v>
      </c>
      <c r="C156" s="10">
        <v>630</v>
      </c>
      <c r="D156" s="57" t="s">
        <v>139</v>
      </c>
      <c r="E156" s="97">
        <v>8500</v>
      </c>
      <c r="F156" s="97"/>
      <c r="G156" s="97"/>
      <c r="H156" s="99">
        <f t="shared" si="39"/>
        <v>8500</v>
      </c>
      <c r="I156" s="99">
        <v>2988.8700000000003</v>
      </c>
      <c r="J156" s="100">
        <f t="shared" si="40"/>
        <v>0.35163176470588237</v>
      </c>
      <c r="M156" s="12"/>
    </row>
    <row r="157" spans="1:13" x14ac:dyDescent="0.25">
      <c r="A157" s="53" t="s">
        <v>102</v>
      </c>
      <c r="B157" s="33" t="s">
        <v>122</v>
      </c>
      <c r="C157" s="10">
        <v>630</v>
      </c>
      <c r="D157" s="11" t="s">
        <v>140</v>
      </c>
      <c r="E157" s="97">
        <v>34400</v>
      </c>
      <c r="F157" s="97"/>
      <c r="G157" s="97"/>
      <c r="H157" s="99">
        <f t="shared" si="39"/>
        <v>34400</v>
      </c>
      <c r="I157" s="99">
        <v>20039.330000000002</v>
      </c>
      <c r="J157" s="100">
        <f t="shared" si="40"/>
        <v>0.58253866279069777</v>
      </c>
      <c r="M157" s="12"/>
    </row>
    <row r="158" spans="1:13" x14ac:dyDescent="0.25">
      <c r="A158" s="85" t="s">
        <v>22</v>
      </c>
      <c r="B158" s="85"/>
      <c r="C158" s="86"/>
      <c r="D158" s="87" t="s">
        <v>97</v>
      </c>
      <c r="E158" s="88">
        <f>SUM(E155:E157)</f>
        <v>43080</v>
      </c>
      <c r="F158" s="88">
        <f>SUM(F155:F157)</f>
        <v>0</v>
      </c>
      <c r="G158" s="88">
        <f>SUM(G155:G157)</f>
        <v>820</v>
      </c>
      <c r="H158" s="88">
        <f>SUM(H155:H157)</f>
        <v>43900</v>
      </c>
      <c r="I158" s="88">
        <f t="shared" ref="E158:I158" si="41">SUM(I155:I157)</f>
        <v>23911.99</v>
      </c>
      <c r="J158" s="89">
        <f>I158/H158</f>
        <v>0.54469225512528474</v>
      </c>
    </row>
    <row r="159" spans="1:13" x14ac:dyDescent="0.25">
      <c r="A159" s="75"/>
      <c r="B159" s="75"/>
      <c r="C159" s="76"/>
      <c r="D159" s="77" t="s">
        <v>93</v>
      </c>
      <c r="E159" s="80"/>
      <c r="F159" s="80"/>
      <c r="G159" s="80"/>
      <c r="H159" s="80"/>
      <c r="I159" s="81"/>
      <c r="J159" s="80"/>
    </row>
    <row r="160" spans="1:13" x14ac:dyDescent="0.25">
      <c r="A160" s="53" t="s">
        <v>102</v>
      </c>
      <c r="B160" s="33" t="s">
        <v>48</v>
      </c>
      <c r="C160" s="10">
        <v>630</v>
      </c>
      <c r="D160" s="11" t="s">
        <v>141</v>
      </c>
      <c r="E160" s="97"/>
      <c r="F160" s="97"/>
      <c r="G160" s="97"/>
      <c r="H160" s="99">
        <f t="shared" ref="H160:H162" si="42">SUM(E160:G160)</f>
        <v>0</v>
      </c>
      <c r="I160" s="97"/>
      <c r="J160" s="98"/>
    </row>
    <row r="161" spans="1:13" s="37" customFormat="1" x14ac:dyDescent="0.25">
      <c r="A161" s="53" t="s">
        <v>102</v>
      </c>
      <c r="B161" s="58" t="s">
        <v>48</v>
      </c>
      <c r="C161" s="25">
        <v>630</v>
      </c>
      <c r="D161" s="28" t="s">
        <v>142</v>
      </c>
      <c r="E161" s="97">
        <v>84</v>
      </c>
      <c r="F161" s="97"/>
      <c r="G161" s="98">
        <v>8400</v>
      </c>
      <c r="H161" s="99">
        <f t="shared" si="42"/>
        <v>8484</v>
      </c>
      <c r="I161" s="99">
        <v>8462.32</v>
      </c>
      <c r="J161" s="100">
        <f t="shared" ref="J161:J162" si="43">I161/H161</f>
        <v>0.9974446016030174</v>
      </c>
      <c r="M161" s="12"/>
    </row>
    <row r="162" spans="1:13" s="37" customFormat="1" x14ac:dyDescent="0.25">
      <c r="A162" s="53" t="s">
        <v>102</v>
      </c>
      <c r="B162" s="33" t="s">
        <v>48</v>
      </c>
      <c r="C162" s="25">
        <v>630</v>
      </c>
      <c r="D162" s="28" t="s">
        <v>35</v>
      </c>
      <c r="E162" s="97">
        <v>2000</v>
      </c>
      <c r="F162" s="97"/>
      <c r="G162" s="97"/>
      <c r="H162" s="99">
        <f t="shared" si="42"/>
        <v>2000</v>
      </c>
      <c r="I162" s="99">
        <v>426.8</v>
      </c>
      <c r="J162" s="100">
        <f t="shared" si="43"/>
        <v>0.21340000000000001</v>
      </c>
      <c r="M162" s="12"/>
    </row>
    <row r="163" spans="1:13" x14ac:dyDescent="0.25">
      <c r="A163" s="85" t="s">
        <v>22</v>
      </c>
      <c r="B163" s="85"/>
      <c r="C163" s="86"/>
      <c r="D163" s="87" t="s">
        <v>93</v>
      </c>
      <c r="E163" s="88">
        <f>SUM(E161:E162)</f>
        <v>2084</v>
      </c>
      <c r="F163" s="88">
        <f>SUM(F161:F162)</f>
        <v>0</v>
      </c>
      <c r="G163" s="88">
        <f>SUM(G161:G162)</f>
        <v>8400</v>
      </c>
      <c r="H163" s="88">
        <f>SUM(H161:H162)</f>
        <v>10484</v>
      </c>
      <c r="I163" s="88">
        <f>SUM(I160:I162)</f>
        <v>8889.119999999999</v>
      </c>
      <c r="J163" s="89">
        <f>I163/H163</f>
        <v>0.84787485692483777</v>
      </c>
    </row>
    <row r="164" spans="1:13" x14ac:dyDescent="0.25">
      <c r="A164" s="75"/>
      <c r="B164" s="75" t="s">
        <v>143</v>
      </c>
      <c r="C164" s="76"/>
      <c r="D164" s="77"/>
      <c r="E164" s="78">
        <f>SUM(E163,E158,E153,E132:E143)</f>
        <v>165180</v>
      </c>
      <c r="F164" s="78">
        <f>SUM(F163,F158,F153,F132:F143)</f>
        <v>24889.01</v>
      </c>
      <c r="G164" s="78">
        <f>SUM(G163,G158,G153,G132:G143)</f>
        <v>13730</v>
      </c>
      <c r="H164" s="78">
        <f>SUM(H163,H158,H153,H132:H143)</f>
        <v>203799.01</v>
      </c>
      <c r="I164" s="78">
        <f>SUM(I163,I158,I153,I132:I143)</f>
        <v>87817.949999999983</v>
      </c>
      <c r="J164" s="79">
        <f>I164/H164</f>
        <v>0.43090469379610813</v>
      </c>
    </row>
    <row r="165" spans="1:13" x14ac:dyDescent="0.25">
      <c r="A165" s="75"/>
      <c r="B165" s="75"/>
      <c r="C165" s="76"/>
      <c r="D165" s="77" t="s">
        <v>110</v>
      </c>
      <c r="E165" s="80"/>
      <c r="F165" s="80"/>
      <c r="G165" s="80"/>
      <c r="H165" s="80"/>
      <c r="I165" s="81"/>
      <c r="J165" s="80"/>
    </row>
    <row r="166" spans="1:13" x14ac:dyDescent="0.25">
      <c r="A166" s="53" t="s">
        <v>144</v>
      </c>
      <c r="B166" s="33" t="s">
        <v>122</v>
      </c>
      <c r="C166" s="10">
        <v>717001</v>
      </c>
      <c r="D166" s="11" t="s">
        <v>50</v>
      </c>
      <c r="E166" s="94">
        <v>52150</v>
      </c>
      <c r="F166" s="94"/>
      <c r="G166" s="94"/>
      <c r="H166" s="94">
        <f t="shared" ref="H166:H172" si="44">SUM(E166:G166)</f>
        <v>52150</v>
      </c>
      <c r="I166" s="94">
        <v>12345.93</v>
      </c>
      <c r="J166" s="95">
        <f t="shared" ref="J166:J172" si="45">I166/H166</f>
        <v>0.23673883029721957</v>
      </c>
      <c r="L166" s="12"/>
      <c r="M166" s="12"/>
    </row>
    <row r="167" spans="1:13" x14ac:dyDescent="0.25">
      <c r="A167" s="53" t="s">
        <v>144</v>
      </c>
      <c r="B167" s="53" t="s">
        <v>122</v>
      </c>
      <c r="C167" s="10">
        <v>717001</v>
      </c>
      <c r="D167" s="11" t="s">
        <v>51</v>
      </c>
      <c r="E167" s="94">
        <v>19269.424999999999</v>
      </c>
      <c r="F167" s="94"/>
      <c r="G167" s="94"/>
      <c r="H167" s="94">
        <f t="shared" si="44"/>
        <v>19269.424999999999</v>
      </c>
      <c r="I167" s="94">
        <v>4473.83</v>
      </c>
      <c r="J167" s="95">
        <f t="shared" si="45"/>
        <v>0.23217247011781619</v>
      </c>
      <c r="M167" s="12"/>
    </row>
    <row r="168" spans="1:13" x14ac:dyDescent="0.25">
      <c r="A168" s="53" t="s">
        <v>144</v>
      </c>
      <c r="B168" s="33" t="s">
        <v>122</v>
      </c>
      <c r="C168" s="10">
        <v>717001</v>
      </c>
      <c r="D168" s="11" t="s">
        <v>98</v>
      </c>
      <c r="E168" s="94">
        <v>350</v>
      </c>
      <c r="F168" s="94"/>
      <c r="G168" s="94"/>
      <c r="H168" s="94">
        <f t="shared" si="44"/>
        <v>350</v>
      </c>
      <c r="I168" s="94">
        <v>11.73</v>
      </c>
      <c r="J168" s="95">
        <f t="shared" si="45"/>
        <v>3.3514285714285719E-2</v>
      </c>
      <c r="M168" s="12"/>
    </row>
    <row r="169" spans="1:13" x14ac:dyDescent="0.25">
      <c r="A169" s="53" t="s">
        <v>144</v>
      </c>
      <c r="B169" s="53" t="s">
        <v>122</v>
      </c>
      <c r="C169" s="10">
        <v>717001</v>
      </c>
      <c r="D169" s="11" t="s">
        <v>58</v>
      </c>
      <c r="E169" s="94">
        <v>875</v>
      </c>
      <c r="F169" s="94"/>
      <c r="G169" s="94"/>
      <c r="H169" s="94">
        <f t="shared" si="44"/>
        <v>875</v>
      </c>
      <c r="I169" s="94">
        <v>0</v>
      </c>
      <c r="J169" s="95">
        <f t="shared" si="45"/>
        <v>0</v>
      </c>
      <c r="M169" s="12"/>
    </row>
    <row r="170" spans="1:13" x14ac:dyDescent="0.25">
      <c r="A170" s="53" t="s">
        <v>144</v>
      </c>
      <c r="B170" s="33" t="s">
        <v>122</v>
      </c>
      <c r="C170" s="10">
        <v>717001</v>
      </c>
      <c r="D170" s="11" t="s">
        <v>61</v>
      </c>
      <c r="E170" s="94">
        <v>2600</v>
      </c>
      <c r="F170" s="94"/>
      <c r="G170" s="94"/>
      <c r="H170" s="94">
        <f t="shared" si="44"/>
        <v>2600</v>
      </c>
      <c r="I170" s="94">
        <v>567.01</v>
      </c>
      <c r="J170" s="95">
        <f t="shared" si="45"/>
        <v>0.21808076923076922</v>
      </c>
      <c r="M170" s="12"/>
    </row>
    <row r="171" spans="1:13" x14ac:dyDescent="0.25">
      <c r="A171" s="53" t="s">
        <v>144</v>
      </c>
      <c r="B171" s="53" t="s">
        <v>122</v>
      </c>
      <c r="C171" s="10">
        <v>717001</v>
      </c>
      <c r="D171" s="11" t="s">
        <v>62</v>
      </c>
      <c r="E171" s="94">
        <v>573.65</v>
      </c>
      <c r="F171" s="94"/>
      <c r="G171" s="94"/>
      <c r="H171" s="94">
        <f t="shared" si="44"/>
        <v>573.65</v>
      </c>
      <c r="I171" s="94">
        <v>122.25999999999999</v>
      </c>
      <c r="J171" s="95">
        <f t="shared" si="45"/>
        <v>0.21312647084459163</v>
      </c>
      <c r="M171" s="12"/>
    </row>
    <row r="172" spans="1:13" x14ac:dyDescent="0.25">
      <c r="A172" s="53" t="s">
        <v>144</v>
      </c>
      <c r="B172" s="33" t="s">
        <v>122</v>
      </c>
      <c r="C172" s="10">
        <v>717001</v>
      </c>
      <c r="D172" s="11" t="s">
        <v>145</v>
      </c>
      <c r="E172" s="94">
        <v>62000</v>
      </c>
      <c r="F172" s="94"/>
      <c r="G172" s="94"/>
      <c r="H172" s="94">
        <f t="shared" si="44"/>
        <v>62000</v>
      </c>
      <c r="I172" s="94">
        <v>27554.760000000002</v>
      </c>
      <c r="J172" s="95">
        <f t="shared" si="45"/>
        <v>0.44443161290322586</v>
      </c>
      <c r="M172" s="12"/>
    </row>
    <row r="173" spans="1:13" x14ac:dyDescent="0.25">
      <c r="A173" s="59"/>
      <c r="B173" s="60"/>
      <c r="C173" s="29"/>
      <c r="D173" s="11"/>
      <c r="E173" s="94"/>
      <c r="F173" s="94"/>
      <c r="G173" s="94"/>
      <c r="H173" s="94"/>
      <c r="I173" s="96"/>
      <c r="J173" s="94"/>
    </row>
    <row r="174" spans="1:13" x14ac:dyDescent="0.25">
      <c r="A174" s="75"/>
      <c r="B174" s="75" t="s">
        <v>96</v>
      </c>
      <c r="C174" s="76"/>
      <c r="D174" s="77" t="s">
        <v>110</v>
      </c>
      <c r="E174" s="78">
        <f>SUM(E166:E173)</f>
        <v>137818.07500000001</v>
      </c>
      <c r="F174" s="78">
        <f t="shared" ref="F174:H174" si="46">SUM(F166:F173)</f>
        <v>0</v>
      </c>
      <c r="G174" s="78">
        <f t="shared" si="46"/>
        <v>0</v>
      </c>
      <c r="H174" s="78">
        <f t="shared" si="46"/>
        <v>137818.07500000001</v>
      </c>
      <c r="I174" s="78">
        <f>SUM(I166:I173)</f>
        <v>45075.520000000004</v>
      </c>
      <c r="J174" s="79">
        <f>I174/H174</f>
        <v>0.32706537223074694</v>
      </c>
    </row>
    <row r="175" spans="1:13" x14ac:dyDescent="0.25">
      <c r="A175" s="61" t="s">
        <v>47</v>
      </c>
      <c r="B175" s="60" t="s">
        <v>127</v>
      </c>
      <c r="C175" s="62">
        <v>716</v>
      </c>
      <c r="D175" s="11" t="s">
        <v>146</v>
      </c>
      <c r="E175" s="94">
        <v>10000</v>
      </c>
      <c r="F175" s="94"/>
      <c r="G175" s="94"/>
      <c r="H175" s="94">
        <f t="shared" ref="H175:H176" si="47">SUM(E175:G175)</f>
        <v>10000</v>
      </c>
      <c r="I175" s="94">
        <v>0</v>
      </c>
      <c r="J175" s="95">
        <f t="shared" ref="J175:J176" si="48">I175/H175</f>
        <v>0</v>
      </c>
    </row>
    <row r="176" spans="1:13" x14ac:dyDescent="0.25">
      <c r="A176" s="63" t="s">
        <v>47</v>
      </c>
      <c r="B176" s="60"/>
      <c r="C176" s="64">
        <v>719014</v>
      </c>
      <c r="D176" s="11" t="s">
        <v>147</v>
      </c>
      <c r="E176" s="94"/>
      <c r="F176" s="94">
        <v>629.15</v>
      </c>
      <c r="G176" s="94"/>
      <c r="H176" s="94">
        <f t="shared" si="47"/>
        <v>629.15</v>
      </c>
      <c r="I176" s="94">
        <v>629.15</v>
      </c>
      <c r="J176" s="95">
        <f t="shared" si="48"/>
        <v>1</v>
      </c>
      <c r="M176" s="12"/>
    </row>
    <row r="177" spans="1:10" x14ac:dyDescent="0.25">
      <c r="A177" s="75"/>
      <c r="B177" s="75" t="s">
        <v>96</v>
      </c>
      <c r="C177" s="76"/>
      <c r="D177" s="77" t="s">
        <v>110</v>
      </c>
      <c r="E177" s="78">
        <f>SUM(E174:E176)</f>
        <v>147818.07500000001</v>
      </c>
      <c r="F177" s="78">
        <f t="shared" ref="F177:H177" si="49">SUM(F174:F176)</f>
        <v>629.15</v>
      </c>
      <c r="G177" s="78">
        <f t="shared" si="49"/>
        <v>0</v>
      </c>
      <c r="H177" s="78">
        <f t="shared" si="49"/>
        <v>148447.22500000001</v>
      </c>
      <c r="I177" s="78">
        <f>SUM(I166:I176)</f>
        <v>90780.19</v>
      </c>
      <c r="J177" s="79">
        <f>I177/E177</f>
        <v>0.61413457048469877</v>
      </c>
    </row>
    <row r="178" spans="1:10" ht="15.75" thickBot="1" x14ac:dyDescent="0.3">
      <c r="A178" s="102" t="s">
        <v>44</v>
      </c>
      <c r="B178" s="103"/>
      <c r="C178" s="103"/>
      <c r="D178" s="104"/>
      <c r="E178" s="21">
        <f>SUM(E177,E164)</f>
        <v>312998.07500000001</v>
      </c>
      <c r="F178" s="21">
        <f t="shared" ref="F178:H178" si="50">SUM(F177,F164)</f>
        <v>25518.16</v>
      </c>
      <c r="G178" s="21">
        <f t="shared" si="50"/>
        <v>13730</v>
      </c>
      <c r="H178" s="21">
        <f t="shared" si="50"/>
        <v>352246.23499999999</v>
      </c>
      <c r="I178" s="21">
        <f>SUM(I177,I164)</f>
        <v>178598.13999999998</v>
      </c>
      <c r="J178" s="22">
        <f>I178/E178</f>
        <v>0.57060459557139442</v>
      </c>
    </row>
    <row r="179" spans="1:10" ht="16.5" thickBot="1" x14ac:dyDescent="0.3">
      <c r="A179" s="74"/>
      <c r="B179" s="105" t="s">
        <v>148</v>
      </c>
      <c r="C179" s="106"/>
      <c r="D179" s="107"/>
      <c r="E179" s="71">
        <f>SUM(E178,E129)</f>
        <v>859176</v>
      </c>
      <c r="F179" s="71">
        <f t="shared" ref="F179:H179" si="51">SUM(F178,F129)</f>
        <v>50945.55</v>
      </c>
      <c r="G179" s="71">
        <f t="shared" si="51"/>
        <v>13730</v>
      </c>
      <c r="H179" s="71">
        <f t="shared" si="51"/>
        <v>923851.55</v>
      </c>
      <c r="I179" s="71">
        <f>SUM(I178,I129)</f>
        <v>425408.93999999994</v>
      </c>
      <c r="J179" s="72">
        <f>I179/E179</f>
        <v>0.49513596748512523</v>
      </c>
    </row>
    <row r="180" spans="1:10" s="4" customFormat="1" ht="5.25" customHeight="1" x14ac:dyDescent="0.25">
      <c r="A180" s="65"/>
      <c r="B180" s="65"/>
      <c r="C180" s="65"/>
      <c r="D180" s="65"/>
      <c r="E180" s="5"/>
      <c r="F180" s="5"/>
      <c r="G180" s="5"/>
      <c r="H180" s="5"/>
      <c r="I180" s="5"/>
      <c r="J180" s="5"/>
    </row>
    <row r="181" spans="1:10" s="4" customFormat="1" ht="15.75" customHeight="1" x14ac:dyDescent="0.25">
      <c r="E181" s="5"/>
      <c r="F181" s="5"/>
      <c r="G181" s="5"/>
      <c r="H181" s="5"/>
      <c r="I181" s="5"/>
      <c r="J181" s="5"/>
    </row>
  </sheetData>
  <mergeCells count="14">
    <mergeCell ref="A23:D23"/>
    <mergeCell ref="B1:J1"/>
    <mergeCell ref="B2:J2"/>
    <mergeCell ref="I5:J5"/>
    <mergeCell ref="A7:D7"/>
    <mergeCell ref="A22:D22"/>
    <mergeCell ref="A178:D178"/>
    <mergeCell ref="B179:D179"/>
    <mergeCell ref="A41:D41"/>
    <mergeCell ref="B42:D42"/>
    <mergeCell ref="I45:J45"/>
    <mergeCell ref="A47:D47"/>
    <mergeCell ref="A129:D129"/>
    <mergeCell ref="A130:D130"/>
  </mergeCells>
  <pageMargins left="0.19" right="0.33" top="0.74803149606299213" bottom="0.74803149606299213" header="0.31496062992125984" footer="0.31496062992125984"/>
  <pageSetup paperSize="8" scale="8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veduci</dc:creator>
  <cp:lastModifiedBy>Pro veduci</cp:lastModifiedBy>
  <dcterms:created xsi:type="dcterms:W3CDTF">2021-09-21T07:22:19Z</dcterms:created>
  <dcterms:modified xsi:type="dcterms:W3CDTF">2021-09-21T09:14:08Z</dcterms:modified>
</cp:coreProperties>
</file>